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hemay\OneDrive\Desktop\Guiding Tech Media\Images\5 Dynamic Excel Templates for Start-up Financial Projections\"/>
    </mc:Choice>
  </mc:AlternateContent>
  <xr:revisionPtr revIDLastSave="0" documentId="13_ncr:1_{DD4402D8-C184-416E-960C-1A9E59B3F64C}" xr6:coauthVersionLast="47" xr6:coauthVersionMax="47" xr10:uidLastSave="{00000000-0000-0000-0000-000000000000}"/>
  <bookViews>
    <workbookView xWindow="-120" yWindow="-120" windowWidth="20730" windowHeight="11040" activeTab="1" xr2:uid="{3D94D979-A218-4460-97C2-7B2CF950AA84}"/>
  </bookViews>
  <sheets>
    <sheet name="Burn Rate" sheetId="1" r:id="rId1"/>
    <sheet name="Revenue Forecast" sheetId="2" r:id="rId2"/>
    <sheet name="Operating Expense Forecast" sheetId="3" r:id="rId3"/>
    <sheet name="Cash Flow" sheetId="4" r:id="rId4"/>
    <sheet name="Financial Projection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N14" i="5" l="1"/>
  <c r="N13" i="5"/>
  <c r="N11" i="5" a="1"/>
  <c r="N11" i="5" s="1"/>
  <c r="N9" i="5"/>
  <c r="N8" i="5"/>
  <c r="K3" i="5"/>
  <c r="N12" i="5" s="1"/>
  <c r="J2" i="5"/>
  <c r="I2" i="5"/>
  <c r="H2" i="5"/>
  <c r="E2" i="5"/>
  <c r="D2" i="5"/>
  <c r="N10" i="5"/>
  <c r="K4" i="5"/>
  <c r="K5" i="5"/>
  <c r="K6" i="5"/>
  <c r="K7" i="5"/>
  <c r="K8" i="5"/>
  <c r="K9" i="5"/>
  <c r="K10" i="5"/>
  <c r="K11" i="5"/>
  <c r="K12" i="5"/>
  <c r="K13" i="5"/>
  <c r="I3" i="5"/>
  <c r="J3" i="5" s="1"/>
  <c r="I4" i="5"/>
  <c r="J4" i="5" s="1"/>
  <c r="I5" i="5"/>
  <c r="J5" i="5" s="1"/>
  <c r="I6" i="5"/>
  <c r="J6" i="5" s="1"/>
  <c r="I7" i="5"/>
  <c r="J7" i="5" s="1"/>
  <c r="I8" i="5"/>
  <c r="J8" i="5" s="1"/>
  <c r="I9" i="5"/>
  <c r="J9" i="5" s="1"/>
  <c r="I10" i="5"/>
  <c r="J10" i="5" s="1"/>
  <c r="I11" i="5"/>
  <c r="J11" i="5" s="1"/>
  <c r="I12" i="5"/>
  <c r="J12" i="5" s="1"/>
  <c r="I13" i="5"/>
  <c r="J13" i="5" s="1"/>
  <c r="H3" i="5"/>
  <c r="H4" i="5"/>
  <c r="H5" i="5"/>
  <c r="H6" i="5"/>
  <c r="H7" i="5"/>
  <c r="H8" i="5"/>
  <c r="H9" i="5"/>
  <c r="H10" i="5"/>
  <c r="H11" i="5"/>
  <c r="H12" i="5"/>
  <c r="H13" i="5"/>
  <c r="D3" i="5"/>
  <c r="E3" i="5" s="1"/>
  <c r="D4" i="5"/>
  <c r="E4" i="5" s="1"/>
  <c r="D5" i="5"/>
  <c r="E5" i="5" s="1"/>
  <c r="D6" i="5"/>
  <c r="E6" i="5" s="1"/>
  <c r="D7" i="5"/>
  <c r="E7" i="5" s="1"/>
  <c r="D8" i="5"/>
  <c r="E8" i="5" s="1"/>
  <c r="D9" i="5"/>
  <c r="E9" i="5" s="1"/>
  <c r="D10" i="5"/>
  <c r="E10" i="5" s="1"/>
  <c r="D11" i="5"/>
  <c r="E11" i="5" s="1"/>
  <c r="D12" i="5"/>
  <c r="E12" i="5" s="1"/>
  <c r="D13" i="5"/>
  <c r="E13" i="5" s="1"/>
  <c r="G2" i="4"/>
  <c r="H2" i="4" s="1"/>
  <c r="B3" i="4" s="1"/>
  <c r="H3" i="4" s="1"/>
  <c r="B4" i="4" s="1"/>
  <c r="H4" i="4" s="1"/>
  <c r="B5" i="4" s="1"/>
  <c r="H5" i="4" s="1"/>
  <c r="B6" i="4" s="1"/>
  <c r="H6" i="4" s="1"/>
  <c r="B7" i="4" s="1"/>
  <c r="H7" i="4" s="1"/>
  <c r="B8" i="4" s="1"/>
  <c r="H8" i="4" s="1"/>
  <c r="B9" i="4" s="1"/>
  <c r="H9" i="4" s="1"/>
  <c r="B10" i="4" s="1"/>
  <c r="H10" i="4" s="1"/>
  <c r="B11" i="4" s="1"/>
  <c r="H11" i="4" s="1"/>
  <c r="B12" i="4" s="1"/>
  <c r="H12" i="4" s="1"/>
  <c r="B13" i="4" s="1"/>
  <c r="H13" i="4" s="1"/>
  <c r="G3" i="4"/>
  <c r="G4" i="4"/>
  <c r="G5" i="4"/>
  <c r="G6" i="4"/>
  <c r="G7" i="4"/>
  <c r="G8" i="4"/>
  <c r="G9" i="4"/>
  <c r="G10" i="4"/>
  <c r="G11" i="4"/>
  <c r="G12" i="4"/>
  <c r="G13" i="4"/>
  <c r="K11" i="3"/>
  <c r="K9" i="3"/>
  <c r="K10" i="3" s="1"/>
  <c r="K8" i="3"/>
  <c r="L11" i="3"/>
  <c r="M11" i="3"/>
  <c r="N11" i="3"/>
  <c r="H2" i="2"/>
  <c r="G2" i="2"/>
  <c r="E2" i="2"/>
  <c r="D2" i="2"/>
  <c r="H2" i="1"/>
  <c r="G2" i="1"/>
  <c r="G3" i="1"/>
  <c r="G4" i="1"/>
  <c r="G5" i="1"/>
  <c r="H5" i="1" s="1"/>
  <c r="G6" i="1"/>
  <c r="G7" i="1"/>
  <c r="G8" i="1"/>
  <c r="G9" i="1"/>
  <c r="G10" i="1"/>
  <c r="G11" i="1"/>
  <c r="G12" i="1"/>
  <c r="G13" i="1"/>
  <c r="F2" i="1"/>
  <c r="E2" i="1"/>
  <c r="H2" i="3"/>
  <c r="H3" i="3"/>
  <c r="H4" i="3"/>
  <c r="H5" i="3"/>
  <c r="H6" i="3"/>
  <c r="H7" i="3"/>
  <c r="H8" i="3"/>
  <c r="H9" i="3"/>
  <c r="H10" i="3"/>
  <c r="H11" i="3"/>
  <c r="H12" i="3"/>
  <c r="H13" i="3"/>
  <c r="H3" i="2"/>
  <c r="H4" i="2"/>
  <c r="H5" i="2"/>
  <c r="H6" i="2"/>
  <c r="H7" i="2"/>
  <c r="H8" i="2"/>
  <c r="H9" i="2"/>
  <c r="H10" i="2"/>
  <c r="H11" i="2"/>
  <c r="H12" i="2"/>
  <c r="H13" i="2"/>
  <c r="G3" i="2"/>
  <c r="G4" i="2"/>
  <c r="G5" i="2"/>
  <c r="G6" i="2"/>
  <c r="G7" i="2"/>
  <c r="G8" i="2"/>
  <c r="G9" i="2"/>
  <c r="G10" i="2"/>
  <c r="G11" i="2"/>
  <c r="G12" i="2"/>
  <c r="G13" i="2"/>
  <c r="E3" i="2"/>
  <c r="E4" i="2"/>
  <c r="E5" i="2"/>
  <c r="E6" i="2"/>
  <c r="E7" i="2"/>
  <c r="E8" i="2"/>
  <c r="E9" i="2"/>
  <c r="E10" i="2"/>
  <c r="E11" i="2"/>
  <c r="E12" i="2"/>
  <c r="E13" i="2"/>
  <c r="D3" i="2"/>
  <c r="D4" i="2"/>
  <c r="D5" i="2"/>
  <c r="D6" i="2"/>
  <c r="D7" i="2"/>
  <c r="D8" i="2"/>
  <c r="D9" i="2"/>
  <c r="D10" i="2"/>
  <c r="D11" i="2"/>
  <c r="D12" i="2"/>
  <c r="D13" i="2"/>
  <c r="H3" i="1"/>
  <c r="H4" i="1"/>
  <c r="H6" i="1"/>
  <c r="H7" i="1"/>
  <c r="H8" i="1"/>
  <c r="H9" i="1"/>
  <c r="H10" i="1"/>
  <c r="H11" i="1"/>
  <c r="H12" i="1"/>
  <c r="H13" i="1"/>
  <c r="F3" i="1"/>
  <c r="F4" i="1"/>
  <c r="F5" i="1"/>
  <c r="F6" i="1"/>
  <c r="F7" i="1"/>
  <c r="F8" i="1"/>
  <c r="F9" i="1"/>
  <c r="F10" i="1"/>
  <c r="F11" i="1"/>
  <c r="F12" i="1"/>
  <c r="F13" i="1"/>
  <c r="E3" i="1"/>
  <c r="E4" i="1"/>
  <c r="E5" i="1"/>
  <c r="E6" i="1"/>
  <c r="E7" i="1"/>
  <c r="E8" i="1"/>
  <c r="E9" i="1"/>
  <c r="E10" i="1"/>
  <c r="E11" i="1"/>
  <c r="E12" i="1"/>
  <c r="E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<sst xmlns="http://schemas.openxmlformats.org/spreadsheetml/2006/main" count="146" uniqueCount="75">
  <si>
    <t>Month</t>
  </si>
  <si>
    <t>Starting Cash</t>
  </si>
  <si>
    <t>Cash Inflow</t>
  </si>
  <si>
    <t>Operating Expenses</t>
  </si>
  <si>
    <t>Net Burn</t>
  </si>
  <si>
    <t>Ending Cash</t>
  </si>
  <si>
    <t>Runway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</si>
  <si>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</si>
  <si>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</si>
  <si>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</si>
  <si>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</si>
  <si>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</si>
  <si>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</si>
  <si>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</si>
  <si>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</si>
  <si>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</si>
  <si>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</si>
  <si>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</si>
  <si>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</si>
  <si>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Runway Status</t>
  </si>
  <si>
    <t>Starting Customers</t>
  </si>
  <si>
    <t>New Customers</t>
  </si>
  <si>
    <t>Churned Customers</t>
  </si>
  <si>
    <t>Ending Customers</t>
  </si>
  <si>
    <t>Monthly Price</t>
  </si>
  <si>
    <t>MRR</t>
  </si>
  <si>
    <t>Payroll</t>
  </si>
  <si>
    <t>Marketing</t>
  </si>
  <si>
    <t>Software</t>
  </si>
  <si>
    <t>Rent</t>
  </si>
  <si>
    <t>Legal/Admin</t>
  </si>
  <si>
    <t>Other</t>
  </si>
  <si>
    <t>Total Expenses</t>
  </si>
  <si>
    <t>Opening Cash</t>
  </si>
  <si>
    <t>Cash Receipts</t>
  </si>
  <si>
    <t>Other Expenses</t>
  </si>
  <si>
    <t>Net Cash Flow</t>
  </si>
  <si>
    <t>Closing Cash</t>
  </si>
  <si>
    <t>Churn Rate</t>
  </si>
  <si>
    <t>Revenue</t>
  </si>
  <si>
    <t>Assumption</t>
  </si>
  <si>
    <t>Value</t>
  </si>
  <si>
    <t>Monthly Growth Rate</t>
  </si>
  <si>
    <t>Monthly Subscription Price</t>
  </si>
  <si>
    <t>Monthly Recurring Revenue (MRR)</t>
  </si>
  <si>
    <t>Annual Recurring Revenue (ARR)</t>
  </si>
  <si>
    <t>Role</t>
  </si>
  <si>
    <t>Start Month</t>
  </si>
  <si>
    <t>Monthly Salary</t>
  </si>
  <si>
    <t>Active?</t>
  </si>
  <si>
    <t>Founder</t>
  </si>
  <si>
    <t>Yes</t>
  </si>
  <si>
    <t>Developer</t>
  </si>
  <si>
    <t>Marketing Manager</t>
  </si>
  <si>
    <t>No</t>
  </si>
  <si>
    <t>Total Payroll</t>
  </si>
  <si>
    <t>COGS</t>
  </si>
  <si>
    <t>Gross Profit</t>
  </si>
  <si>
    <t>Gross Margin</t>
  </si>
  <si>
    <t>Marketing Spend</t>
  </si>
  <si>
    <t>CAC</t>
  </si>
  <si>
    <t>ARR</t>
  </si>
  <si>
    <t>Revenue Growth</t>
  </si>
  <si>
    <t>Average Revenue per Customer</t>
  </si>
  <si>
    <t>Monthly Churn Rate</t>
  </si>
  <si>
    <t>LTV</t>
  </si>
  <si>
    <t>LTV Ratio</t>
  </si>
  <si>
    <t>Dashboard Summary</t>
  </si>
  <si>
    <t>KPI</t>
  </si>
  <si>
    <t>Formula</t>
  </si>
  <si>
    <t>Total Annual Revenue</t>
  </si>
  <si>
    <t>Average Gross Margin</t>
  </si>
  <si>
    <t>Average CAC</t>
  </si>
  <si>
    <t>Ending ARR</t>
  </si>
  <si>
    <t>Average Revenue Growth Rate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</si>
</sst>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0"/>
      <color theme="1"/>
      <name val="Arial Unicode MS"/>
    </font>
    <font>
      <b/>
      <sz val="13.5"/>
      <color theme="0"/>
      <name val="Aptos Narrow"/>
      <family val="2"/>
      <scheme val="minor"/>
    </font>
    <font>
      <b/>
      <sz val="11"/>
      <color theme="9" tint="-0.249977111117893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25">
    <xf numFmtId="0" fontId="0" fillId="0" borderId="0" xfId="0"/>
    <xf numFmtId="3" fontId="0" fillId="0" borderId="0" xfId="0" applyNumberFormat="1"/>
    <xf numFmtId="0" fontId="2" fillId="0" borderId="0" xfId="0" applyFont="1"/>
    <xf numFmtId="2" fontId="0" fillId="0" borderId="0" xfId="0" applyNumberFormat="1"/>
    <xf numFmtId="0" fontId="1" fillId="2" borderId="0" xfId="0" applyFont="1" applyFill="1"/>
    <xf numFmtId="9" fontId="0" fillId="0" borderId="0" xfId="0" applyNumberFormat="1"/>
    <xf numFmtId="0" fontId="1" fillId="2" borderId="0" xfId="0" applyFont="1" applyFill="1" applyAlignment="1">
      <alignment horizontal="center" vertical="top"/>
    </xf>
    <xf numFmtId="0" fontId="1" fillId="2" borderId="0" xfId="0" applyFont="1" applyFill="1" applyAlignment="1">
      <alignment horizontal="center" vertical="top" wrapText="1"/>
    </xf>
    <xf numFmtId="0" fontId="0" fillId="0" borderId="0" xfId="0" applyAlignment="1">
      <alignment horizontal="center" vertical="top"/>
    </xf>
    <xf numFmtId="0" fontId="0" fillId="2" borderId="0" xfId="0" applyFill="1"/>
    <xf numFmtId="0" fontId="4" fillId="2" borderId="0" xfId="0" applyFont="1" applyFill="1"/>
    <xf numFmtId="0" fontId="0" fillId="0" borderId="0" xfId="0" applyAlignment="1">
      <alignment vertical="center"/>
    </xf>
    <xf numFmtId="2" fontId="0" fillId="0" borderId="0" xfId="0" applyNumberFormat="1" applyAlignment="1">
      <alignment vertical="center"/>
    </xf>
    <xf numFmtId="3" fontId="0" fillId="0" borderId="0" xfId="0" applyNumberFormat="1" applyAlignment="1">
      <alignment vertical="center" wrapText="1"/>
    </xf>
    <xf numFmtId="0" fontId="0" fillId="0" borderId="0" xfId="0" applyAlignment="1">
      <alignment vertical="center" wrapText="1"/>
    </xf>
    <xf numFmtId="9" fontId="0" fillId="0" borderId="0" xfId="0" applyNumberFormat="1" applyAlignment="1">
      <alignment vertical="center"/>
    </xf>
    <xf numFmtId="10" fontId="0" fillId="0" borderId="0" xfId="0" applyNumberFormat="1"/>
    <xf numFmtId="9" fontId="0" fillId="0" borderId="0" xfId="1" applyFont="1"/>
    <xf numFmtId="3" fontId="5" fillId="0" borderId="0" xfId="0" applyNumberFormat="1" applyFont="1" applyAlignment="1">
      <alignment vertical="center" wrapText="1"/>
    </xf>
    <xf numFmtId="9" fontId="5" fillId="0" borderId="0" xfId="0" applyNumberFormat="1" applyFont="1" applyAlignment="1">
      <alignment vertical="center" wrapText="1"/>
    </xf>
    <xf numFmtId="2" fontId="5" fillId="0" borderId="0" xfId="0" applyNumberFormat="1" applyFont="1" applyAlignment="1">
      <alignment vertical="center" wrapText="1"/>
    </xf>
    <xf numFmtId="0" fontId="5" fillId="0" borderId="0" xfId="0" applyFont="1" applyAlignment="1">
      <alignment vertical="center" wrapText="1"/>
    </xf>
    <xf numFmtId="10" fontId="5" fillId="0" borderId="0" xfId="0" applyNumberFormat="1" applyFont="1" applyAlignment="1">
      <alignment vertical="center" wrapText="1"/>
    </xf>
    <xf numFmtId="0" fontId="7" fillId="0" borderId="0" xfId="0" applyFont="1" applyAlignment="1">
      <alignment vertical="center" wrapText="1"/>
    </xf>
    <xf numFmtId="0" fontId="6" fillId="2" borderId="0" xfId="0" applyFont="1" applyFill="1" applyAlignment="1">
      <alignment horizontal="center" vertical="center"/>
    </xf>
  </cellXfs>
  <cellStyles count="2">
    <cellStyle name="Normal" xfId="0" builtinId="0"/>
    <cellStyle name="Percent" xfId="1" builtinId="5"/>
  </cellStyles>
  <dxfs count="43"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font>
        <strike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indexed="64"/>
          <bgColor theme="9" tint="-0.249977111117893"/>
        </patternFill>
      </fill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fill>
        <patternFill patternType="solid">
          <fgColor indexed="64"/>
          <bgColor theme="9" tint="-0.249977111117893"/>
        </patternFill>
      </fill>
    </dxf>
    <dxf>
      <numFmt numFmtId="0" formatCode="General"/>
      <alignment vertical="center" textRotation="0" wrapText="1" indent="0" justifyLastLine="0" shrinkToFit="0" readingOrder="0"/>
    </dxf>
    <dxf>
      <numFmt numFmtId="3" formatCode="#,##0"/>
      <alignment vertical="center" textRotation="0" wrapText="1" indent="0" justifyLastLine="0" shrinkToFit="0" readingOrder="0"/>
    </dxf>
    <dxf>
      <alignment vertical="center" textRotation="0" indent="0" justifyLastLine="0" shrinkToFit="0" readingOrder="0"/>
    </dxf>
    <dxf>
      <numFmt numFmtId="2" formatCode="0.00"/>
      <alignment vertical="center" textRotation="0" indent="0" justifyLastLine="0" shrinkToFit="0" readingOrder="0"/>
    </dxf>
    <dxf>
      <numFmt numFmtId="2" formatCode="0.00"/>
      <alignment vertical="center" textRotation="0" indent="0" justifyLastLine="0" shrinkToFit="0" readingOrder="0"/>
    </dxf>
    <dxf>
      <alignment vertical="center" textRotation="0" indent="0" justifyLastLine="0" shrinkToFit="0" readingOrder="0"/>
    </dxf>
    <dxf>
      <alignment vertical="center" textRotation="0" indent="0" justifyLastLine="0" shrinkToFit="0" readingOrder="0"/>
    </dxf>
    <dxf>
      <alignment vertical="center" textRotation="0" indent="0" justifyLastLine="0" shrinkToFit="0" readingOrder="0"/>
    </dxf>
    <dxf>
      <alignment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indexed="64"/>
          <bgColor theme="9" tint="-0.249977111117893"/>
        </patternFill>
      </fill>
      <alignment horizontal="center" vertical="top" textRotation="0" wrapText="0" indent="0" justifyLastLine="0" shrinkToFit="0" readingOrder="0"/>
    </dxf>
    <dxf>
      <numFmt numFmtId="0" formatCode="General"/>
    </dxf>
    <dxf>
      <numFmt numFmtId="2" formatCode="0.0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indexed="64"/>
          <bgColor theme="9" tint="-0.249977111117893"/>
        </patternFill>
      </fill>
    </dxf>
    <dxf>
      <numFmt numFmtId="14" formatCode="0.00%"/>
    </dxf>
    <dxf>
      <numFmt numFmtId="3" formatCode="#,##0"/>
    </dxf>
    <dxf>
      <numFmt numFmtId="3" formatCode="#,##0"/>
    </dxf>
    <dxf>
      <numFmt numFmtId="2" formatCode="0.00"/>
    </dxf>
    <dxf>
      <numFmt numFmtId="3" formatCode="#,##0"/>
    </dxf>
    <dxf>
      <numFmt numFmtId="3" formatCode="#,##0"/>
    </dxf>
    <dxf>
      <numFmt numFmtId="0" formatCode="General"/>
    </dxf>
    <dxf>
      <numFmt numFmtId="3" formatCode="#,##0"/>
    </dxf>
    <dxf>
      <font>
        <strike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indexed="64"/>
          <bgColor theme="9" tint="-0.24997711111789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0F477D1-755B-4F31-91D1-C718AC9E264A}" name="Table1" displayName="Table1" ref="A1:H13" totalsRowShown="0" headerRowDxfId="33">
  <autoFilter ref="A1:H13" xr:uid="{80F477D1-755B-4F31-91D1-C718AC9E264A}"/>
  <tableColumns count="8">
    <tableColumn id="1" xr3:uid="{C0E0E90E-13DF-4141-971D-78CDBF7DCEB8}" name="Month"/>
    <tableColumn id="2" xr3:uid="{3791C5F5-C73E-4D6B-A86F-71B908275542}" name="Starting Cash" dataDxfId="32"/>
    <tableColumn id="3" xr3:uid="{CE876A68-2189-415B-8088-1485027835F6}" name="Cash Inflow" dataDxfId="31"/>
    <tableColumn id="4" xr3:uid="{62A25383-1878-48A3-B72D-FD2AE96DD387}" name="Operating Expenses" dataDxfId="30"/>
    <tableColumn id="5" xr3:uid="{1925F51E-2439-40A7-83FA-F82E200AA258}" name="Net Burn" dataDxfId="29">
      <calculatedColumnFormula>Table1[[#This Row],[Operating Expenses]]-Table1[[#This Row],[Cash Inflow]]</calculatedColumnFormula>
    </tableColumn>
    <tableColumn id="6" xr3:uid="{04D156CA-493D-40AE-9669-7152B7C830FA}" name="Ending Cash" dataDxfId="28">
      <calculatedColumnFormula>Table1[[#This Row],[Starting Cash]]+Table1[[#This Row],[Cash Inflow]]-Table1[[#This Row],[Operating Expenses]]</calculatedColumnFormula>
    </tableColumn>
    <tableColumn id="7" xr3:uid="{1FBF1A5E-07AD-4F5D-9845-318A45ED0E11}" name="Runway" dataDxfId="27">
      <calculatedColumnFormula>Table1[[#This Row],[Ending Cash]]/Table1[[#This Row],[Net Burn]]</calculatedColumnFormula>
    </tableColumn>
    <tableColumn id="8" xr3:uid="{2985A5E6-200F-4268-BA67-163A36DB47A9}" name="Runway Status" dataDxfId="26">
      <calculatedColumnFormula>IF(Table1[[#This Row],[Ending Cash]]&lt;=0,"Cash Shortage",IF(Table1[[#This Row],[Net Burn]]&lt;=0,"Positive Cash Flow",IF(Table1[[#This Row],[Runway]]&lt;3,"Critical",IF(Table1[[#This Row],[Runway]]&lt;6,"Warning","Stable"))))</calculatedColumnFormula>
    </tableColumn>
  </tableColumns>
  <tableStyleInfo name="TableStyleLight1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60A5411-B135-497A-8B9F-8B604B637567}" name="Table2" displayName="Table2" ref="A1:H13" totalsRowShown="0" headerRowDxfId="25" dataDxfId="24">
  <autoFilter ref="A1:H13" xr:uid="{960A5411-B135-497A-8B9F-8B604B637567}"/>
  <tableColumns count="8">
    <tableColumn id="1" xr3:uid="{86324DE9-3315-43C0-BD94-0274CF1F5C7A}" name="Month" dataDxfId="23"/>
    <tableColumn id="2" xr3:uid="{38A22C7B-096D-43DA-9FBC-9E0223C9DE8C}" name="Starting Customers" dataDxfId="22"/>
    <tableColumn id="3" xr3:uid="{DFE735AF-9D8C-45CB-87F7-E32A539F71C4}" name="New Customers" dataDxfId="21"/>
    <tableColumn id="4" xr3:uid="{7A8C5A87-F696-4043-87BF-752D186CA542}" name="Churned Customers" dataDxfId="20">
      <calculatedColumnFormula>Table2[[#This Row],[Starting Customers]]*$K$3</calculatedColumnFormula>
    </tableColumn>
    <tableColumn id="5" xr3:uid="{80D4E445-79CA-418D-9971-167536DF5A82}" name="Ending Customers" dataDxfId="19">
      <calculatedColumnFormula>Table2[[#This Row],[Starting Customers]]+Table2[[#This Row],[New Customers]]-Table2[[#This Row],[Churned Customers]]</calculatedColumnFormula>
    </tableColumn>
    <tableColumn id="6" xr3:uid="{83DA2160-F774-45C5-8E26-5B65053ACACE}" name="Monthly Price" dataDxfId="18"/>
    <tableColumn id="7" xr3:uid="{0C64F1E0-EB86-4D28-9B1A-3040136EB37A}" name="Monthly Recurring Revenue (MRR)" dataDxfId="17">
      <calculatedColumnFormula>Table2[[#This Row],[Ending Customers]]*Table2[[#This Row],[Monthly Price]]</calculatedColumnFormula>
    </tableColumn>
    <tableColumn id="8" xr3:uid="{9CF37642-FD5A-4BF6-AD7B-E14780C08E34}" name="Annual Recurring Revenue (ARR)" dataDxfId="16">
      <calculatedColumnFormula>Table2[[#This Row],[Monthly Recurring Revenue (MRR)]]*12</calculatedColumnFormula>
    </tableColumn>
  </tableColumns>
  <tableStyleInfo name="TableStyleLight1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D86E9E31-0F02-4A15-A84D-F6B873818B7A}" name="Op_Expense" displayName="Op_Expense" ref="A1:H13" totalsRowShown="0" headerRowDxfId="15">
  <autoFilter ref="A1:H13" xr:uid="{D86E9E31-0F02-4A15-A84D-F6B873818B7A}"/>
  <tableColumns count="8">
    <tableColumn id="1" xr3:uid="{80907D56-FBB4-43A1-967E-B46BBA27E0B4}" name="Month"/>
    <tableColumn id="2" xr3:uid="{92987DF5-EAD7-42ED-B8FB-C2731A07996F}" name="Payroll" dataDxfId="14"/>
    <tableColumn id="3" xr3:uid="{6806C4CE-3E9A-4F3B-9BF9-B3D1D6793AA4}" name="Marketing" dataDxfId="13"/>
    <tableColumn id="4" xr3:uid="{B2962E87-E0E5-4CA8-B45B-4555D5889CE1}" name="Software" dataDxfId="12"/>
    <tableColumn id="5" xr3:uid="{D87D3D54-628A-4C3B-8CE7-9429F7D1C597}" name="Rent" dataDxfId="11"/>
    <tableColumn id="6" xr3:uid="{AF34669D-09CB-4E32-89F2-D06207C02344}" name="Legal/Admin" dataDxfId="10"/>
    <tableColumn id="7" xr3:uid="{48DD18F0-5390-47B2-80B2-2BF20673E264}" name="Other" dataDxfId="9"/>
    <tableColumn id="8" xr3:uid="{6D2ADFB0-6A56-46B9-91C4-EBF0D1DD92D2}" name="Total Expenses" dataDxfId="8">
      <calculatedColumnFormula>SUM(Op_Expense[[#This Row],[Payroll]:[Other]])</calculatedColumnFormula>
    </tableColumn>
  </tableColumns>
  <tableStyleInfo name="TableStyleLight14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C0BAE04D-8B86-4886-A055-427DED985BFC}" name="Table4" displayName="Table4" ref="A1:H13" totalsRowShown="0" headerRowDxfId="7">
  <autoFilter ref="A1:H13" xr:uid="{C0BAE04D-8B86-4886-A055-427DED985BFC}"/>
  <tableColumns count="8">
    <tableColumn id="1" xr3:uid="{E5A79698-A6DC-468D-9562-901AFCDC92A3}" name="Month"/>
    <tableColumn id="2" xr3:uid="{347B48DC-42CF-4842-8CD5-81A7D8A6A4FE}" name="Opening Cash" dataDxfId="6"/>
    <tableColumn id="3" xr3:uid="{DD32FE74-8483-4EA1-A5ED-AF90910253AA}" name="Cash Receipts" dataDxfId="5"/>
    <tableColumn id="4" xr3:uid="{AA488F1A-9BE3-426E-90A9-73FEAC4BB5F0}" name="Payroll" dataDxfId="4"/>
    <tableColumn id="5" xr3:uid="{571BA7BB-5C40-4E67-BC56-1145CD09E290}" name="Marketing" dataDxfId="3"/>
    <tableColumn id="6" xr3:uid="{010AFB6B-0E76-471F-A5C5-0A6C5156393B}" name="Other Expenses" dataDxfId="2"/>
    <tableColumn id="7" xr3:uid="{CDFD7E33-59DF-4D24-82A9-F4EC938513D9}" name="Net Cash Flow" dataDxfId="1">
      <calculatedColumnFormula>Table4[[#This Row],[Cash Receipts]]-(Table4[[#This Row],[Payroll]]+Table4[[#This Row],[Marketing]]+Table4[[#This Row],[Other Expenses]])</calculatedColumnFormula>
    </tableColumn>
    <tableColumn id="8" xr3:uid="{46942EDA-916A-49DC-943F-D14257425452}" name="Closing Cash" dataDxfId="0">
      <calculatedColumnFormula>Table4[[#This Row],[Opening Cash]]+Table4[[#This Row],[Net Cash Flow]]</calculatedColumnFormula>
    </tableColumn>
  </tableColumns>
  <tableStyleInfo name="TableStyleLight14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274118EF-F7F7-4EEA-8AC5-D8D0AE3EA0FD}" name="Table7" displayName="Table7" ref="A1:K13" totalsRowShown="0" headerRowDxfId="42">
  <autoFilter ref="A1:K13" xr:uid="{274118EF-F7F7-4EEA-8AC5-D8D0AE3EA0FD}"/>
  <tableColumns count="11">
    <tableColumn id="1" xr3:uid="{E77336A4-3EF7-4448-AC05-F99D8A2DA080}" name="Month"/>
    <tableColumn id="2" xr3:uid="{03252ABB-BAA8-47B4-976F-7893BEBBAB09}" name="Revenue" dataDxfId="41"/>
    <tableColumn id="3" xr3:uid="{D0646F27-9A2C-43A4-B22A-C9770D9D53AB}" name="COGS"/>
    <tableColumn id="4" xr3:uid="{92C32711-CF82-4082-9B28-6C6F984F785F}" name="Gross Profit" dataDxfId="40">
      <calculatedColumnFormula>Table7[[#This Row],[Revenue]]-Table7[[#This Row],[COGS]]</calculatedColumnFormula>
    </tableColumn>
    <tableColumn id="5" xr3:uid="{564A7E54-5D9E-49A3-BDC7-0D4D10D27D32}" name="Gross Margin" dataCellStyle="Percent">
      <calculatedColumnFormula>Table7[[#This Row],[Gross Profit]]/Table7[[#This Row],[Revenue]]</calculatedColumnFormula>
    </tableColumn>
    <tableColumn id="6" xr3:uid="{B35000E6-8F6F-42D1-AC83-0E81D4725726}" name="New Customers" dataDxfId="39"/>
    <tableColumn id="7" xr3:uid="{21FA5D7A-2ED0-4CD5-A216-02F1E2AE2B73}" name="Marketing Spend" dataDxfId="38"/>
    <tableColumn id="12" xr3:uid="{2161B27D-6512-4510-AD57-A9363381E7D9}" name="CAC" dataDxfId="37">
      <calculatedColumnFormula>Table7[[#This Row],[Marketing Spend]]/Table7[[#This Row],[New Customers]]</calculatedColumnFormula>
    </tableColumn>
    <tableColumn id="13" xr3:uid="{62620361-323D-4066-A472-EE02910C2AF2}" name="MRR" dataDxfId="36">
      <calculatedColumnFormula>Table7[[#This Row],[Revenue]]</calculatedColumnFormula>
    </tableColumn>
    <tableColumn id="14" xr3:uid="{3C537373-FF22-41F5-B351-04D0934F4219}" name="ARR" dataDxfId="35">
      <calculatedColumnFormula>Table7[[#This Row],[MRR]]*12</calculatedColumnFormula>
    </tableColumn>
    <tableColumn id="15" xr3:uid="{4BF7F6C1-4DB8-4A98-9B8A-1B2C50F7E261}" name="Revenue Growth" dataDxfId="34"/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6ABF90-9454-4A21-B551-6943F674C91C}">
  <dimension ref="A1:J13"/>
  <sheetViews>
    <sheetView workbookViewId="0">
      <selection activeCell="H2" sqref="H2"/>
    </sheetView>
  </sheetViews>
  <sheetFormatPr defaultColWidth="9" defaultRowHeight="15"/>
  <cols>
    <col min="1" max="1" width="8.85546875" customWidth="1"/>
    <col min="2" max="2" width="15.140625" customWidth="1"/>
    <col min="3" max="3" width="13.7109375" customWidth="1"/>
    <col min="4" max="4" width="21.140625" customWidth="1"/>
    <col min="5" max="5" width="11" customWidth="1"/>
    <col min="6" max="6" width="14.28515625" customWidth="1"/>
    <col min="7" max="7" width="10.140625" customWidth="1"/>
    <col min="8" max="8" width="16.28515625" customWidth="1"/>
    <col min="9" max="9" width="8.85546875" bestFit="1" customWidth="1"/>
    <col min="10" max="10" width="12.140625" bestFit="1" customWidth="1"/>
  </cols>
  <sheetData>
    <row r="1" spans="1:10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19</v>
      </c>
      <c r="I1" s="2"/>
      <c r="J1" s="2"/>
    </row>
    <row r="2" spans="1:10">
      <c r="A2" t="s">
        <v>7</v>
      </c>
      <c r="B2" s="1">
        <v>100000</v>
      </c>
      <c r="C2" s="1">
        <v>10000</v>
      </c>
      <c r="D2" s="1">
        <v>25000</v>
      </c>
      <c r="E2" s="1">
        <f>Table1[[#This Row],[Operating Expenses]]-Table1[[#This Row],[Cash Inflow]]</f>
        <v>15000</v>
      </c>
      <c r="F2" s="1">
        <f>Table1[[#This Row],[Starting Cash]]+Table1[[#This Row],[Cash Inflow]]-Table1[[#This Row],[Operating Expenses]]</f>
        <v>85000</v>
      </c>
      <c r="G2" s="3">
        <f>Table1[[#This Row],[Ending Cash]]/Table1[[#This Row],[Net Burn]]</f>
        <v>5.666666666666667</v>
      </c>
      <c r="H2" t="str">
        <f>IF(Table1[[#This Row],[Ending Cash]]&lt;=0,"Cash Shortage",IF(Table1[[#This Row],[Net Burn]]&lt;=0,"Positive Cash Flow",IF(Table1[[#This Row],[Runway]]&lt;3,"Critical",IF(Table1[[#This Row],[Runway]]&lt;6,"Warning","Stable"))))</f>
        <v>Warning</v>
      </c>
      <c r="I2" s="1"/>
    </row>
    <row r="3" spans="1:10">
      <c r="A3" t="s">
        <v>8</v>
      </c>
      <c r="B3" s="1">
        <v>85000</v>
      </c>
      <c r="C3" s="1">
        <v>12000</v>
      </c>
      <c r="D3" s="1">
        <v>28000</v>
      </c>
      <c r="E3" s="1">
        <f>Table1[[#This Row],[Operating Expenses]]-Table1[[#This Row],[Cash Inflow]]</f>
        <v>16000</v>
      </c>
      <c r="F3" s="1">
        <f>Table1[[#This Row],[Starting Cash]]+Table1[[#This Row],[Cash Inflow]]-Table1[[#This Row],[Operating Expenses]]</f>
        <v>69000</v>
      </c>
      <c r="G3" s="3">
        <f>Table1[[#This Row],[Ending Cash]]/Table1[[#This Row],[Net Burn]]</f>
        <v>4.3125</v>
      </c>
      <c r="H3" t="str">
        <f>IF(Table1[[#This Row],[Ending Cash]]&lt;=0,"Cash Shortage",IF(Table1[[#This Row],[Net Burn]]&lt;=0,"Positive Cash Flow",IF(Table1[[#This Row],[Runway]]&lt;3,"Critical",IF(Table1[[#This Row],[Runway]]&lt;6,"Warning","Stable"))))</f>
        <v>Warning</v>
      </c>
    </row>
    <row r="4" spans="1:10">
      <c r="A4" t="s">
        <v>9</v>
      </c>
      <c r="B4" s="1">
        <v>69000</v>
      </c>
      <c r="C4" s="1">
        <v>15000</v>
      </c>
      <c r="D4" s="1">
        <v>30000</v>
      </c>
      <c r="E4" s="1">
        <f>Table1[[#This Row],[Operating Expenses]]-Table1[[#This Row],[Cash Inflow]]</f>
        <v>15000</v>
      </c>
      <c r="F4" s="1">
        <f>Table1[[#This Row],[Starting Cash]]+Table1[[#This Row],[Cash Inflow]]-Table1[[#This Row],[Operating Expenses]]</f>
        <v>54000</v>
      </c>
      <c r="G4" s="3">
        <f>Table1[[#This Row],[Ending Cash]]/Table1[[#This Row],[Net Burn]]</f>
        <v>3.6</v>
      </c>
      <c r="H4" t="str">
        <f>IF(Table1[[#This Row],[Ending Cash]]&lt;=0,"Cash Shortage",IF(Table1[[#This Row],[Net Burn]]&lt;=0,"Positive Cash Flow",IF(Table1[[#This Row],[Runway]]&lt;3,"Critical",IF(Table1[[#This Row],[Runway]]&lt;6,"Warning","Stable"))))</f>
        <v>Warning</v>
      </c>
    </row>
    <row r="5" spans="1:10">
      <c r="A5" t="s">
        <v>10</v>
      </c>
      <c r="B5" s="1">
        <v>54000</v>
      </c>
      <c r="C5" s="1">
        <v>18000</v>
      </c>
      <c r="D5" s="1">
        <v>34000</v>
      </c>
      <c r="E5" s="1">
        <f>Table1[[#This Row],[Operating Expenses]]-Table1[[#This Row],[Cash Inflow]]</f>
        <v>16000</v>
      </c>
      <c r="F5" s="1">
        <f>Table1[[#This Row],[Starting Cash]]+Table1[[#This Row],[Cash Inflow]]-Table1[[#This Row],[Operating Expenses]]</f>
        <v>38000</v>
      </c>
      <c r="G5" s="3">
        <f>Table1[[#This Row],[Ending Cash]]/Table1[[#This Row],[Net Burn]]</f>
        <v>2.375</v>
      </c>
      <c r="H5" t="str">
        <f>IF(Table1[[#This Row],[Ending Cash]]&lt;=0,"Cash Shortage",IF(Table1[[#This Row],[Net Burn]]&lt;=0,"Positive Cash Flow",IF(Table1[[#This Row],[Runway]]&lt;3,"Critical",IF(Table1[[#This Row],[Runway]]&lt;6,"Warning","Stable"))))</f>
        <v>Critical</v>
      </c>
    </row>
    <row r="6" spans="1:10">
      <c r="A6" t="s">
        <v>11</v>
      </c>
      <c r="B6" s="1">
        <v>38000</v>
      </c>
      <c r="C6" s="1">
        <v>22000</v>
      </c>
      <c r="D6" s="1">
        <v>36000</v>
      </c>
      <c r="E6" s="1">
        <f>Table1[[#This Row],[Operating Expenses]]-Table1[[#This Row],[Cash Inflow]]</f>
        <v>14000</v>
      </c>
      <c r="F6" s="1">
        <f>Table1[[#This Row],[Starting Cash]]+Table1[[#This Row],[Cash Inflow]]-Table1[[#This Row],[Operating Expenses]]</f>
        <v>24000</v>
      </c>
      <c r="G6" s="3">
        <f>Table1[[#This Row],[Ending Cash]]/Table1[[#This Row],[Net Burn]]</f>
        <v>1.7142857142857142</v>
      </c>
      <c r="H6" t="str">
        <f>IF(Table1[[#This Row],[Ending Cash]]&lt;=0,"Cash Shortage",IF(Table1[[#This Row],[Net Burn]]&lt;=0,"Positive Cash Flow",IF(Table1[[#This Row],[Runway]]&lt;3,"Critical",IF(Table1[[#This Row],[Runway]]&lt;6,"Warning","Stable"))))</f>
        <v>Critical</v>
      </c>
    </row>
    <row r="7" spans="1:10">
      <c r="A7" t="s">
        <v>12</v>
      </c>
      <c r="B7" s="1">
        <v>24000</v>
      </c>
      <c r="C7" s="1">
        <v>25000</v>
      </c>
      <c r="D7" s="1">
        <v>39000</v>
      </c>
      <c r="E7" s="1">
        <f>Table1[[#This Row],[Operating Expenses]]-Table1[[#This Row],[Cash Inflow]]</f>
        <v>14000</v>
      </c>
      <c r="F7" s="1">
        <f>Table1[[#This Row],[Starting Cash]]+Table1[[#This Row],[Cash Inflow]]-Table1[[#This Row],[Operating Expenses]]</f>
        <v>10000</v>
      </c>
      <c r="G7" s="3">
        <f>Table1[[#This Row],[Ending Cash]]/Table1[[#This Row],[Net Burn]]</f>
        <v>0.7142857142857143</v>
      </c>
      <c r="H7" t="str">
        <f>IF(Table1[[#This Row],[Ending Cash]]&lt;=0,"Cash Shortage",IF(Table1[[#This Row],[Net Burn]]&lt;=0,"Positive Cash Flow",IF(Table1[[#This Row],[Runway]]&lt;3,"Critical",IF(Table1[[#This Row],[Runway]]&lt;6,"Warning","Stable"))))</f>
        <v>Critical</v>
      </c>
    </row>
    <row r="8" spans="1:10">
      <c r="A8" t="s">
        <v>13</v>
      </c>
      <c r="B8" s="1">
        <v>10000</v>
      </c>
      <c r="C8" s="1">
        <v>30000</v>
      </c>
      <c r="D8" s="1">
        <v>42000</v>
      </c>
      <c r="E8" s="1">
        <f>Table1[[#This Row],[Operating Expenses]]-Table1[[#This Row],[Cash Inflow]]</f>
        <v>12000</v>
      </c>
      <c r="F8" s="1">
        <f>Table1[[#This Row],[Starting Cash]]+Table1[[#This Row],[Cash Inflow]]-Table1[[#This Row],[Operating Expenses]]</f>
        <v>-2000</v>
      </c>
      <c r="G8" s="3">
        <f>Table1[[#This Row],[Ending Cash]]/Table1[[#This Row],[Net Burn]]</f>
        <v>-0.16666666666666666</v>
      </c>
      <c r="H8" t="str">
        <f>IF(Table1[[#This Row],[Ending Cash]]&lt;=0,"Cash Shortage",IF(Table1[[#This Row],[Net Burn]]&lt;=0,"Positive Cash Flow",IF(Table1[[#This Row],[Runway]]&lt;3,"Critical",IF(Table1[[#This Row],[Runway]]&lt;6,"Warning","Stable"))))</f>
        <v>Cash Shortage</v>
      </c>
    </row>
    <row r="9" spans="1:10">
      <c r="A9" t="s">
        <v>14</v>
      </c>
      <c r="B9" s="1">
        <v>-2000</v>
      </c>
      <c r="C9" s="1">
        <v>35000</v>
      </c>
      <c r="D9" s="1">
        <v>45000</v>
      </c>
      <c r="E9" s="1">
        <f>Table1[[#This Row],[Operating Expenses]]-Table1[[#This Row],[Cash Inflow]]</f>
        <v>10000</v>
      </c>
      <c r="F9" s="1">
        <f>Table1[[#This Row],[Starting Cash]]+Table1[[#This Row],[Cash Inflow]]-Table1[[#This Row],[Operating Expenses]]</f>
        <v>-12000</v>
      </c>
      <c r="G9" s="3">
        <f>Table1[[#This Row],[Ending Cash]]/Table1[[#This Row],[Net Burn]]</f>
        <v>-1.2</v>
      </c>
      <c r="H9" t="str">
        <f>IF(Table1[[#This Row],[Ending Cash]]&lt;=0,"Cash Shortage",IF(Table1[[#This Row],[Net Burn]]&lt;=0,"Positive Cash Flow",IF(Table1[[#This Row],[Runway]]&lt;3,"Critical",IF(Table1[[#This Row],[Runway]]&lt;6,"Warning","Stable"))))</f>
        <v>Cash Shortage</v>
      </c>
    </row>
    <row r="10" spans="1:10">
      <c r="A10" t="s">
        <v>15</v>
      </c>
      <c r="B10" s="1">
        <v>-12000</v>
      </c>
      <c r="C10" s="1">
        <v>40000</v>
      </c>
      <c r="D10" s="1">
        <v>48000</v>
      </c>
      <c r="E10" s="1">
        <f>Table1[[#This Row],[Operating Expenses]]-Table1[[#This Row],[Cash Inflow]]</f>
        <v>8000</v>
      </c>
      <c r="F10" s="1">
        <f>Table1[[#This Row],[Starting Cash]]+Table1[[#This Row],[Cash Inflow]]-Table1[[#This Row],[Operating Expenses]]</f>
        <v>-20000</v>
      </c>
      <c r="G10" s="3">
        <f>Table1[[#This Row],[Ending Cash]]/Table1[[#This Row],[Net Burn]]</f>
        <v>-2.5</v>
      </c>
      <c r="H10" t="str">
        <f>IF(Table1[[#This Row],[Ending Cash]]&lt;=0,"Cash Shortage",IF(Table1[[#This Row],[Net Burn]]&lt;=0,"Positive Cash Flow",IF(Table1[[#This Row],[Runway]]&lt;3,"Critical",IF(Table1[[#This Row],[Runway]]&lt;6,"Warning","Stable"))))</f>
        <v>Cash Shortage</v>
      </c>
    </row>
    <row r="11" spans="1:10">
      <c r="A11" t="s">
        <v>16</v>
      </c>
      <c r="B11" s="1">
        <v>-20000</v>
      </c>
      <c r="C11" s="1">
        <v>46000</v>
      </c>
      <c r="D11" s="1">
        <v>52000</v>
      </c>
      <c r="E11" s="1">
        <f>Table1[[#This Row],[Operating Expenses]]-Table1[[#This Row],[Cash Inflow]]</f>
        <v>6000</v>
      </c>
      <c r="F11" s="1">
        <f>Table1[[#This Row],[Starting Cash]]+Table1[[#This Row],[Cash Inflow]]-Table1[[#This Row],[Operating Expenses]]</f>
        <v>-26000</v>
      </c>
      <c r="G11" s="3">
        <f>Table1[[#This Row],[Ending Cash]]/Table1[[#This Row],[Net Burn]]</f>
        <v>-4.333333333333333</v>
      </c>
      <c r="H11" t="str">
        <f>IF(Table1[[#This Row],[Ending Cash]]&lt;=0,"Cash Shortage",IF(Table1[[#This Row],[Net Burn]]&lt;=0,"Positive Cash Flow",IF(Table1[[#This Row],[Runway]]&lt;3,"Critical",IF(Table1[[#This Row],[Runway]]&lt;6,"Warning","Stable"))))</f>
        <v>Cash Shortage</v>
      </c>
    </row>
    <row r="12" spans="1:10">
      <c r="A12" t="s">
        <v>17</v>
      </c>
      <c r="B12" s="1">
        <v>-26000</v>
      </c>
      <c r="C12" s="1">
        <v>52000</v>
      </c>
      <c r="D12" s="1">
        <v>55000</v>
      </c>
      <c r="E12" s="1">
        <f>Table1[[#This Row],[Operating Expenses]]-Table1[[#This Row],[Cash Inflow]]</f>
        <v>3000</v>
      </c>
      <c r="F12" s="1">
        <f>Table1[[#This Row],[Starting Cash]]+Table1[[#This Row],[Cash Inflow]]-Table1[[#This Row],[Operating Expenses]]</f>
        <v>-29000</v>
      </c>
      <c r="G12" s="3">
        <f>Table1[[#This Row],[Ending Cash]]/Table1[[#This Row],[Net Burn]]</f>
        <v>-9.6666666666666661</v>
      </c>
      <c r="H12" t="str">
        <f>IF(Table1[[#This Row],[Ending Cash]]&lt;=0,"Cash Shortage",IF(Table1[[#This Row],[Net Burn]]&lt;=0,"Positive Cash Flow",IF(Table1[[#This Row],[Runway]]&lt;3,"Critical",IF(Table1[[#This Row],[Runway]]&lt;6,"Warning","Stable"))))</f>
        <v>Cash Shortage</v>
      </c>
    </row>
    <row r="13" spans="1:10">
      <c r="A13" t="s">
        <v>18</v>
      </c>
      <c r="B13" s="1">
        <v>-29000</v>
      </c>
      <c r="C13" s="1">
        <v>60000</v>
      </c>
      <c r="D13" s="1">
        <v>58000</v>
      </c>
      <c r="E13" s="1">
        <f>Table1[[#This Row],[Operating Expenses]]-Table1[[#This Row],[Cash Inflow]]</f>
        <v>-2000</v>
      </c>
      <c r="F13" s="1">
        <f>Table1[[#This Row],[Starting Cash]]+Table1[[#This Row],[Cash Inflow]]-Table1[[#This Row],[Operating Expenses]]</f>
        <v>-27000</v>
      </c>
      <c r="G13" s="3">
        <f>Table1[[#This Row],[Ending Cash]]/Table1[[#This Row],[Net Burn]]</f>
        <v>13.5</v>
      </c>
      <c r="H13" t="str">
        <f>IF(Table1[[#This Row],[Ending Cash]]&lt;=0,"Cash Shortage",IF(Table1[[#This Row],[Net Burn]]&lt;=0,"Positive Cash Flow",IF(Table1[[#This Row],[Runway]]&lt;3,"Critical",IF(Table1[[#This Row],[Runway]]&lt;6,"Warning","Stable"))))</f>
        <v>Cash Shortage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CB1BA1-8E93-47EA-9AC7-172CF3B24359}">
  <dimension ref="A1:K13"/>
  <sheetViews>
    <sheetView tabSelected="1" workbookViewId="0">
      <selection activeCell="H2" sqref="H2"/>
    </sheetView>
  </sheetViews>
  <sheetFormatPr defaultRowHeight="15"/>
  <cols>
    <col min="1" max="1" width="8.85546875" style="11" customWidth="1"/>
    <col min="2" max="2" width="19" style="11" customWidth="1"/>
    <col min="3" max="3" width="15.5703125" style="11" customWidth="1"/>
    <col min="4" max="4" width="21.42578125" style="11" customWidth="1"/>
    <col min="5" max="5" width="19.28515625" style="11" customWidth="1"/>
    <col min="6" max="6" width="14.28515625" style="11" customWidth="1"/>
    <col min="7" max="7" width="21" style="14" customWidth="1"/>
    <col min="8" max="8" width="18.85546875" style="14" customWidth="1"/>
    <col min="9" max="9" width="5.140625" style="11" customWidth="1"/>
    <col min="10" max="10" width="24.85546875" style="11" bestFit="1" customWidth="1"/>
    <col min="11" max="11" width="8.28515625" style="11" customWidth="1"/>
    <col min="12" max="16384" width="9.140625" style="11"/>
  </cols>
  <sheetData>
    <row r="1" spans="1:11" s="8" customFormat="1" ht="30">
      <c r="A1" s="6" t="s">
        <v>0</v>
      </c>
      <c r="B1" s="6" t="s">
        <v>20</v>
      </c>
      <c r="C1" s="6" t="s">
        <v>21</v>
      </c>
      <c r="D1" s="6" t="s">
        <v>22</v>
      </c>
      <c r="E1" s="6" t="s">
        <v>23</v>
      </c>
      <c r="F1" s="6" t="s">
        <v>24</v>
      </c>
      <c r="G1" s="7" t="s">
        <v>44</v>
      </c>
      <c r="H1" s="7" t="s">
        <v>45</v>
      </c>
      <c r="J1" s="6" t="s">
        <v>40</v>
      </c>
      <c r="K1" s="6" t="s">
        <v>41</v>
      </c>
    </row>
    <row r="2" spans="1:11">
      <c r="A2" s="11" t="s">
        <v>7</v>
      </c>
      <c r="B2" s="11">
        <v>100</v>
      </c>
      <c r="C2" s="11">
        <v>20</v>
      </c>
      <c r="D2" s="12">
        <f>Table2[[#This Row],[Starting Customers]]*$K$3</f>
        <v>5</v>
      </c>
      <c r="E2" s="12">
        <f>Table2[[#This Row],[Starting Customers]]+Table2[[#This Row],[New Customers]]-Table2[[#This Row],[Churned Customers]]</f>
        <v>115</v>
      </c>
      <c r="F2" s="11">
        <v>50</v>
      </c>
      <c r="G2" s="13">
        <f>Table2[[#This Row],[Ending Customers]]*Table2[[#This Row],[Monthly Price]]</f>
        <v>5750</v>
      </c>
      <c r="H2" s="14">
        <f>Table2[[#This Row],[Monthly Recurring Revenue (MRR)]]*12</f>
        <v>69000</v>
      </c>
      <c r="J2" s="11" t="s">
        <v>42</v>
      </c>
      <c r="K2" s="15">
        <v>0.12</v>
      </c>
    </row>
    <row r="3" spans="1:11">
      <c r="A3" s="11" t="s">
        <v>8</v>
      </c>
      <c r="B3" s="11">
        <v>115</v>
      </c>
      <c r="C3" s="11">
        <v>25</v>
      </c>
      <c r="D3" s="12">
        <f>Table2[[#This Row],[Starting Customers]]*$K$3</f>
        <v>5.75</v>
      </c>
      <c r="E3" s="12">
        <f>Table2[[#This Row],[Starting Customers]]+Table2[[#This Row],[New Customers]]-Table2[[#This Row],[Churned Customers]]</f>
        <v>134.25</v>
      </c>
      <c r="F3" s="11">
        <v>50</v>
      </c>
      <c r="G3" s="13">
        <f>Table2[[#This Row],[Ending Customers]]*Table2[[#This Row],[Monthly Price]]</f>
        <v>6712.5</v>
      </c>
      <c r="H3" s="14">
        <f>Table2[[#This Row],[Monthly Recurring Revenue (MRR)]]*12</f>
        <v>80550</v>
      </c>
      <c r="J3" s="11" t="s">
        <v>38</v>
      </c>
      <c r="K3" s="15">
        <v>0.05</v>
      </c>
    </row>
    <row r="4" spans="1:11">
      <c r="A4" s="11" t="s">
        <v>9</v>
      </c>
      <c r="B4" s="11">
        <v>134</v>
      </c>
      <c r="C4" s="11">
        <v>30</v>
      </c>
      <c r="D4" s="12">
        <f>Table2[[#This Row],[Starting Customers]]*$K$3</f>
        <v>6.7</v>
      </c>
      <c r="E4" s="12">
        <f>Table2[[#This Row],[Starting Customers]]+Table2[[#This Row],[New Customers]]-Table2[[#This Row],[Churned Customers]]</f>
        <v>157.30000000000001</v>
      </c>
      <c r="F4" s="11">
        <v>50</v>
      </c>
      <c r="G4" s="13">
        <f>Table2[[#This Row],[Ending Customers]]*Table2[[#This Row],[Monthly Price]]</f>
        <v>7865.0000000000009</v>
      </c>
      <c r="H4" s="14">
        <f>Table2[[#This Row],[Monthly Recurring Revenue (MRR)]]*12</f>
        <v>94380.000000000015</v>
      </c>
      <c r="J4" s="11" t="s">
        <v>43</v>
      </c>
      <c r="K4" s="11">
        <v>50</v>
      </c>
    </row>
    <row r="5" spans="1:11">
      <c r="A5" s="11" t="s">
        <v>10</v>
      </c>
      <c r="B5" s="11">
        <v>157</v>
      </c>
      <c r="C5" s="11">
        <v>35</v>
      </c>
      <c r="D5" s="12">
        <f>Table2[[#This Row],[Starting Customers]]*$K$3</f>
        <v>7.8500000000000005</v>
      </c>
      <c r="E5" s="12">
        <f>Table2[[#This Row],[Starting Customers]]+Table2[[#This Row],[New Customers]]-Table2[[#This Row],[Churned Customers]]</f>
        <v>184.15</v>
      </c>
      <c r="F5" s="11">
        <v>50</v>
      </c>
      <c r="G5" s="13">
        <f>Table2[[#This Row],[Ending Customers]]*Table2[[#This Row],[Monthly Price]]</f>
        <v>9207.5</v>
      </c>
      <c r="H5" s="14">
        <f>Table2[[#This Row],[Monthly Recurring Revenue (MRR)]]*12</f>
        <v>110490</v>
      </c>
      <c r="J5" s="11" t="s">
        <v>20</v>
      </c>
      <c r="K5" s="11">
        <v>100</v>
      </c>
    </row>
    <row r="6" spans="1:11">
      <c r="A6" s="11" t="s">
        <v>11</v>
      </c>
      <c r="B6" s="11">
        <v>184</v>
      </c>
      <c r="C6" s="11">
        <v>40</v>
      </c>
      <c r="D6" s="12">
        <f>Table2[[#This Row],[Starting Customers]]*$K$3</f>
        <v>9.2000000000000011</v>
      </c>
      <c r="E6" s="12">
        <f>Table2[[#This Row],[Starting Customers]]+Table2[[#This Row],[New Customers]]-Table2[[#This Row],[Churned Customers]]</f>
        <v>214.8</v>
      </c>
      <c r="F6" s="11">
        <v>50</v>
      </c>
      <c r="G6" s="13">
        <f>Table2[[#This Row],[Ending Customers]]*Table2[[#This Row],[Monthly Price]]</f>
        <v>10740</v>
      </c>
      <c r="H6" s="14">
        <f>Table2[[#This Row],[Monthly Recurring Revenue (MRR)]]*12</f>
        <v>128880</v>
      </c>
    </row>
    <row r="7" spans="1:11">
      <c r="A7" s="11" t="s">
        <v>12</v>
      </c>
      <c r="B7" s="11">
        <v>215</v>
      </c>
      <c r="C7" s="11">
        <v>45</v>
      </c>
      <c r="D7" s="12">
        <f>Table2[[#This Row],[Starting Customers]]*$K$3</f>
        <v>10.75</v>
      </c>
      <c r="E7" s="12">
        <f>Table2[[#This Row],[Starting Customers]]+Table2[[#This Row],[New Customers]]-Table2[[#This Row],[Churned Customers]]</f>
        <v>249.25</v>
      </c>
      <c r="F7" s="11">
        <v>50</v>
      </c>
      <c r="G7" s="13">
        <f>Table2[[#This Row],[Ending Customers]]*Table2[[#This Row],[Monthly Price]]</f>
        <v>12462.5</v>
      </c>
      <c r="H7" s="14">
        <f>Table2[[#This Row],[Monthly Recurring Revenue (MRR)]]*12</f>
        <v>149550</v>
      </c>
    </row>
    <row r="8" spans="1:11">
      <c r="A8" s="11" t="s">
        <v>13</v>
      </c>
      <c r="B8" s="11">
        <v>249</v>
      </c>
      <c r="C8" s="11">
        <v>50</v>
      </c>
      <c r="D8" s="12">
        <f>Table2[[#This Row],[Starting Customers]]*$K$3</f>
        <v>12.450000000000001</v>
      </c>
      <c r="E8" s="12">
        <f>Table2[[#This Row],[Starting Customers]]+Table2[[#This Row],[New Customers]]-Table2[[#This Row],[Churned Customers]]</f>
        <v>286.55</v>
      </c>
      <c r="F8" s="11">
        <v>50</v>
      </c>
      <c r="G8" s="13">
        <f>Table2[[#This Row],[Ending Customers]]*Table2[[#This Row],[Monthly Price]]</f>
        <v>14327.5</v>
      </c>
      <c r="H8" s="14">
        <f>Table2[[#This Row],[Monthly Recurring Revenue (MRR)]]*12</f>
        <v>171930</v>
      </c>
    </row>
    <row r="9" spans="1:11">
      <c r="A9" s="11" t="s">
        <v>14</v>
      </c>
      <c r="B9" s="11">
        <v>287</v>
      </c>
      <c r="C9" s="11">
        <v>55</v>
      </c>
      <c r="D9" s="12">
        <f>Table2[[#This Row],[Starting Customers]]*$K$3</f>
        <v>14.350000000000001</v>
      </c>
      <c r="E9" s="12">
        <f>Table2[[#This Row],[Starting Customers]]+Table2[[#This Row],[New Customers]]-Table2[[#This Row],[Churned Customers]]</f>
        <v>327.64999999999998</v>
      </c>
      <c r="F9" s="11">
        <v>50</v>
      </c>
      <c r="G9" s="13">
        <f>Table2[[#This Row],[Ending Customers]]*Table2[[#This Row],[Monthly Price]]</f>
        <v>16382.499999999998</v>
      </c>
      <c r="H9" s="14">
        <f>Table2[[#This Row],[Monthly Recurring Revenue (MRR)]]*12</f>
        <v>196589.99999999997</v>
      </c>
    </row>
    <row r="10" spans="1:11">
      <c r="A10" s="11" t="s">
        <v>15</v>
      </c>
      <c r="B10" s="11">
        <v>328</v>
      </c>
      <c r="C10" s="11">
        <v>60</v>
      </c>
      <c r="D10" s="12">
        <f>Table2[[#This Row],[Starting Customers]]*$K$3</f>
        <v>16.400000000000002</v>
      </c>
      <c r="E10" s="12">
        <f>Table2[[#This Row],[Starting Customers]]+Table2[[#This Row],[New Customers]]-Table2[[#This Row],[Churned Customers]]</f>
        <v>371.6</v>
      </c>
      <c r="F10" s="11">
        <v>50</v>
      </c>
      <c r="G10" s="13">
        <f>Table2[[#This Row],[Ending Customers]]*Table2[[#This Row],[Monthly Price]]</f>
        <v>18580</v>
      </c>
      <c r="H10" s="14">
        <f>Table2[[#This Row],[Monthly Recurring Revenue (MRR)]]*12</f>
        <v>222960</v>
      </c>
    </row>
    <row r="11" spans="1:11">
      <c r="A11" s="11" t="s">
        <v>16</v>
      </c>
      <c r="B11" s="11">
        <v>372</v>
      </c>
      <c r="C11" s="11">
        <v>70</v>
      </c>
      <c r="D11" s="12">
        <f>Table2[[#This Row],[Starting Customers]]*$K$3</f>
        <v>18.600000000000001</v>
      </c>
      <c r="E11" s="12">
        <f>Table2[[#This Row],[Starting Customers]]+Table2[[#This Row],[New Customers]]-Table2[[#This Row],[Churned Customers]]</f>
        <v>423.4</v>
      </c>
      <c r="F11" s="11">
        <v>50</v>
      </c>
      <c r="G11" s="13">
        <f>Table2[[#This Row],[Ending Customers]]*Table2[[#This Row],[Monthly Price]]</f>
        <v>21170</v>
      </c>
      <c r="H11" s="14">
        <f>Table2[[#This Row],[Monthly Recurring Revenue (MRR)]]*12</f>
        <v>254040</v>
      </c>
    </row>
    <row r="12" spans="1:11">
      <c r="A12" s="11" t="s">
        <v>17</v>
      </c>
      <c r="B12" s="11">
        <v>423</v>
      </c>
      <c r="C12" s="11">
        <v>80</v>
      </c>
      <c r="D12" s="12">
        <f>Table2[[#This Row],[Starting Customers]]*$K$3</f>
        <v>21.150000000000002</v>
      </c>
      <c r="E12" s="12">
        <f>Table2[[#This Row],[Starting Customers]]+Table2[[#This Row],[New Customers]]-Table2[[#This Row],[Churned Customers]]</f>
        <v>481.85</v>
      </c>
      <c r="F12" s="11">
        <v>50</v>
      </c>
      <c r="G12" s="13">
        <f>Table2[[#This Row],[Ending Customers]]*Table2[[#This Row],[Monthly Price]]</f>
        <v>24092.5</v>
      </c>
      <c r="H12" s="14">
        <f>Table2[[#This Row],[Monthly Recurring Revenue (MRR)]]*12</f>
        <v>289110</v>
      </c>
    </row>
    <row r="13" spans="1:11">
      <c r="A13" s="11" t="s">
        <v>18</v>
      </c>
      <c r="B13" s="11">
        <v>482</v>
      </c>
      <c r="C13" s="11">
        <v>90</v>
      </c>
      <c r="D13" s="12">
        <f>Table2[[#This Row],[Starting Customers]]*$K$3</f>
        <v>24.1</v>
      </c>
      <c r="E13" s="12">
        <f>Table2[[#This Row],[Starting Customers]]+Table2[[#This Row],[New Customers]]-Table2[[#This Row],[Churned Customers]]</f>
        <v>547.9</v>
      </c>
      <c r="F13" s="11">
        <v>50</v>
      </c>
      <c r="G13" s="13">
        <f>Table2[[#This Row],[Ending Customers]]*Table2[[#This Row],[Monthly Price]]</f>
        <v>27395</v>
      </c>
      <c r="H13" s="14">
        <f>Table2[[#This Row],[Monthly Recurring Revenue (MRR)]]*12</f>
        <v>328740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307F24-9975-45EA-9B39-BAD75F93250F}">
  <dimension ref="A1:N13"/>
  <sheetViews>
    <sheetView workbookViewId="0">
      <selection activeCell="N11" sqref="N11"/>
    </sheetView>
  </sheetViews>
  <sheetFormatPr defaultRowHeight="15"/>
  <cols>
    <col min="1" max="1" width="9" bestFit="1" customWidth="1"/>
    <col min="2" max="2" width="9.42578125" bestFit="1" customWidth="1"/>
    <col min="3" max="3" width="12.140625" bestFit="1" customWidth="1"/>
    <col min="4" max="4" width="11.28515625" bestFit="1" customWidth="1"/>
    <col min="5" max="5" width="7.5703125" bestFit="1" customWidth="1"/>
    <col min="6" max="6" width="14.42578125" bestFit="1" customWidth="1"/>
    <col min="7" max="7" width="8.42578125" bestFit="1" customWidth="1"/>
    <col min="8" max="8" width="17" bestFit="1" customWidth="1"/>
    <col min="10" max="10" width="18.140625" bestFit="1" customWidth="1"/>
    <col min="11" max="11" width="11" bestFit="1" customWidth="1"/>
    <col min="12" max="12" width="14" bestFit="1" customWidth="1"/>
    <col min="13" max="13" width="7.140625" bestFit="1" customWidth="1"/>
  </cols>
  <sheetData>
    <row r="1" spans="1:14">
      <c r="A1" s="9" t="s">
        <v>0</v>
      </c>
      <c r="B1" s="9" t="s">
        <v>26</v>
      </c>
      <c r="C1" s="9" t="s">
        <v>27</v>
      </c>
      <c r="D1" s="9" t="s">
        <v>28</v>
      </c>
      <c r="E1" s="9" t="s">
        <v>29</v>
      </c>
      <c r="F1" s="9" t="s">
        <v>30</v>
      </c>
      <c r="G1" s="9" t="s">
        <v>31</v>
      </c>
      <c r="H1" s="9" t="s">
        <v>32</v>
      </c>
      <c r="J1" s="4" t="s">
        <v>46</v>
      </c>
      <c r="K1" s="4" t="s">
        <v>47</v>
      </c>
      <c r="L1" s="4" t="s">
        <v>48</v>
      </c>
      <c r="M1" s="4" t="s">
        <v>49</v>
      </c>
    </row>
    <row r="2" spans="1:14">
      <c r="A2" t="s">
        <v>7</v>
      </c>
      <c r="B2" s="1">
        <v>30000</v>
      </c>
      <c r="C2" s="1">
        <v>5000</v>
      </c>
      <c r="D2" s="1">
        <v>2000</v>
      </c>
      <c r="E2" s="1">
        <v>3000</v>
      </c>
      <c r="F2" s="1">
        <v>1500</v>
      </c>
      <c r="G2" s="1">
        <v>1000</v>
      </c>
      <c r="H2" s="1">
        <f>SUM(Op_Expense[[#This Row],[Payroll]:[Other]])</f>
        <v>42500</v>
      </c>
      <c r="J2" t="s">
        <v>50</v>
      </c>
      <c r="K2" t="s">
        <v>7</v>
      </c>
      <c r="L2" s="1">
        <v>5000</v>
      </c>
      <c r="M2" t="s">
        <v>51</v>
      </c>
    </row>
    <row r="3" spans="1:14">
      <c r="A3" t="s">
        <v>8</v>
      </c>
      <c r="B3" s="1">
        <v>35000</v>
      </c>
      <c r="C3" s="1">
        <v>6000</v>
      </c>
      <c r="D3" s="1">
        <v>2200</v>
      </c>
      <c r="E3" s="1">
        <v>3000</v>
      </c>
      <c r="F3" s="1">
        <v>1500</v>
      </c>
      <c r="G3" s="1">
        <v>1200</v>
      </c>
      <c r="H3" s="1">
        <f>SUM(Op_Expense[[#This Row],[Payroll]:[Other]])</f>
        <v>48900</v>
      </c>
      <c r="J3" t="s">
        <v>52</v>
      </c>
      <c r="K3" t="s">
        <v>8</v>
      </c>
      <c r="L3" s="1">
        <v>7000</v>
      </c>
      <c r="M3" t="s">
        <v>51</v>
      </c>
    </row>
    <row r="4" spans="1:14">
      <c r="A4" t="s">
        <v>9</v>
      </c>
      <c r="B4" s="1">
        <v>40000</v>
      </c>
      <c r="C4" s="1">
        <v>8000</v>
      </c>
      <c r="D4" s="1">
        <v>2500</v>
      </c>
      <c r="E4" s="1">
        <v>3000</v>
      </c>
      <c r="F4" s="1">
        <v>2000</v>
      </c>
      <c r="G4" s="1">
        <v>1500</v>
      </c>
      <c r="H4" s="1">
        <f>SUM(Op_Expense[[#This Row],[Payroll]:[Other]])</f>
        <v>57000</v>
      </c>
      <c r="J4" t="s">
        <v>53</v>
      </c>
      <c r="K4" t="s">
        <v>10</v>
      </c>
      <c r="L4" s="1">
        <v>8000</v>
      </c>
      <c r="M4" t="s">
        <v>54</v>
      </c>
    </row>
    <row r="5" spans="1:14">
      <c r="A5" t="s">
        <v>10</v>
      </c>
      <c r="B5" s="1">
        <v>45000</v>
      </c>
      <c r="C5" s="1">
        <v>9000</v>
      </c>
      <c r="D5" s="1">
        <v>2800</v>
      </c>
      <c r="E5" s="1">
        <v>3000</v>
      </c>
      <c r="F5" s="1">
        <v>2000</v>
      </c>
      <c r="G5" s="1">
        <v>1800</v>
      </c>
      <c r="H5" s="1">
        <f>SUM(Op_Expense[[#This Row],[Payroll]:[Other]])</f>
        <v>63600</v>
      </c>
    </row>
    <row r="6" spans="1:14">
      <c r="A6" t="s">
        <v>11</v>
      </c>
      <c r="B6" s="1">
        <v>50000</v>
      </c>
      <c r="C6" s="1">
        <v>10000</v>
      </c>
      <c r="D6" s="1">
        <v>3000</v>
      </c>
      <c r="E6" s="1">
        <v>3000</v>
      </c>
      <c r="F6" s="1">
        <v>2500</v>
      </c>
      <c r="G6" s="1">
        <v>2000</v>
      </c>
      <c r="H6" s="1">
        <f>SUM(Op_Expense[[#This Row],[Payroll]:[Other]])</f>
        <v>70500</v>
      </c>
    </row>
    <row r="7" spans="1:14">
      <c r="A7" t="s">
        <v>12</v>
      </c>
      <c r="B7" s="1">
        <v>55000</v>
      </c>
      <c r="C7" s="1">
        <v>12000</v>
      </c>
      <c r="D7" s="1">
        <v>3500</v>
      </c>
      <c r="E7" s="1">
        <v>3000</v>
      </c>
      <c r="F7" s="1">
        <v>2500</v>
      </c>
      <c r="G7" s="1">
        <v>2300</v>
      </c>
      <c r="H7" s="1">
        <f>SUM(Op_Expense[[#This Row],[Payroll]:[Other]])</f>
        <v>78300</v>
      </c>
      <c r="J7" s="4" t="s">
        <v>46</v>
      </c>
      <c r="K7" s="4" t="s">
        <v>7</v>
      </c>
      <c r="L7" s="4" t="s">
        <v>8</v>
      </c>
      <c r="M7" s="4" t="s">
        <v>9</v>
      </c>
      <c r="N7" s="4" t="s">
        <v>10</v>
      </c>
    </row>
    <row r="8" spans="1:14">
      <c r="A8" t="s">
        <v>13</v>
      </c>
      <c r="B8" s="1">
        <v>60000</v>
      </c>
      <c r="C8" s="1">
        <v>14000</v>
      </c>
      <c r="D8" s="1">
        <v>4000</v>
      </c>
      <c r="E8" s="1">
        <v>3000</v>
      </c>
      <c r="F8" s="1">
        <v>3000</v>
      </c>
      <c r="G8" s="1">
        <v>2500</v>
      </c>
      <c r="H8" s="1">
        <f>SUM(Op_Expense[[#This Row],[Payroll]:[Other]])</f>
        <v>86500</v>
      </c>
      <c r="J8" t="s">
        <v>50</v>
      </c>
      <c r="K8" s="1">
        <f>IF(K7&gt;=K2,L2,0)</f>
        <v>5000</v>
      </c>
      <c r="L8" s="1">
        <v>5000</v>
      </c>
      <c r="M8" s="1">
        <v>5000</v>
      </c>
      <c r="N8" s="1">
        <v>5000</v>
      </c>
    </row>
    <row r="9" spans="1:14">
      <c r="A9" t="s">
        <v>14</v>
      </c>
      <c r="B9" s="1">
        <v>65000</v>
      </c>
      <c r="C9" s="1">
        <v>16000</v>
      </c>
      <c r="D9" s="1">
        <v>4300</v>
      </c>
      <c r="E9" s="1">
        <v>3000</v>
      </c>
      <c r="F9" s="1">
        <v>3000</v>
      </c>
      <c r="G9" s="1">
        <v>2800</v>
      </c>
      <c r="H9" s="1">
        <f>SUM(Op_Expense[[#This Row],[Payroll]:[Other]])</f>
        <v>94100</v>
      </c>
      <c r="J9" t="s">
        <v>52</v>
      </c>
      <c r="K9" s="1">
        <f t="shared" ref="K9:K10" si="0">IF(K8&gt;=K3,L3,0)</f>
        <v>0</v>
      </c>
      <c r="L9" s="1">
        <v>7000</v>
      </c>
      <c r="M9" s="1">
        <v>7000</v>
      </c>
      <c r="N9" s="1">
        <v>7000</v>
      </c>
    </row>
    <row r="10" spans="1:14">
      <c r="A10" t="s">
        <v>15</v>
      </c>
      <c r="B10" s="1">
        <v>70000</v>
      </c>
      <c r="C10" s="1">
        <v>18000</v>
      </c>
      <c r="D10" s="1">
        <v>4700</v>
      </c>
      <c r="E10" s="1">
        <v>3000</v>
      </c>
      <c r="F10" s="1">
        <v>3500</v>
      </c>
      <c r="G10" s="1">
        <v>3000</v>
      </c>
      <c r="H10" s="1">
        <f>SUM(Op_Expense[[#This Row],[Payroll]:[Other]])</f>
        <v>102200</v>
      </c>
      <c r="J10" t="s">
        <v>53</v>
      </c>
      <c r="K10" s="1">
        <f t="shared" si="0"/>
        <v>0</v>
      </c>
      <c r="L10">
        <v>0</v>
      </c>
      <c r="M10">
        <v>0</v>
      </c>
      <c r="N10" s="1">
        <v>8000</v>
      </c>
    </row>
    <row r="11" spans="1:14">
      <c r="A11" t="s">
        <v>16</v>
      </c>
      <c r="B11" s="1">
        <v>75000</v>
      </c>
      <c r="C11" s="1">
        <v>20000</v>
      </c>
      <c r="D11" s="1">
        <v>5000</v>
      </c>
      <c r="E11" s="1">
        <v>3000</v>
      </c>
      <c r="F11" s="1">
        <v>3500</v>
      </c>
      <c r="G11" s="1">
        <v>3300</v>
      </c>
      <c r="H11" s="1">
        <f>SUM(Op_Expense[[#This Row],[Payroll]:[Other]])</f>
        <v>109800</v>
      </c>
      <c r="J11" t="s">
        <v>55</v>
      </c>
      <c r="K11" s="1">
        <f t="shared" ref="K11:N11" si="1">SUM(K8:K10)</f>
        <v>5000</v>
      </c>
      <c r="L11" s="1">
        <f t="shared" si="1"/>
        <v>12000</v>
      </c>
      <c r="M11" s="1">
        <f t="shared" si="1"/>
        <v>12000</v>
      </c>
      <c r="N11" s="1">
        <f t="shared" si="1"/>
        <v>20000</v>
      </c>
    </row>
    <row r="12" spans="1:14">
      <c r="A12" t="s">
        <v>17</v>
      </c>
      <c r="B12" s="1">
        <v>80000</v>
      </c>
      <c r="C12" s="1">
        <v>22000</v>
      </c>
      <c r="D12" s="1">
        <v>5500</v>
      </c>
      <c r="E12" s="1">
        <v>3000</v>
      </c>
      <c r="F12" s="1">
        <v>4000</v>
      </c>
      <c r="G12" s="1">
        <v>3500</v>
      </c>
      <c r="H12" s="1">
        <f>SUM(Op_Expense[[#This Row],[Payroll]:[Other]])</f>
        <v>118000</v>
      </c>
    </row>
    <row r="13" spans="1:14">
      <c r="A13" t="s">
        <v>18</v>
      </c>
      <c r="B13" s="1">
        <v>85000</v>
      </c>
      <c r="C13" s="1">
        <v>25000</v>
      </c>
      <c r="D13" s="1">
        <v>6000</v>
      </c>
      <c r="E13" s="1">
        <v>3000</v>
      </c>
      <c r="F13" s="1">
        <v>4000</v>
      </c>
      <c r="G13" s="1">
        <v>4000</v>
      </c>
      <c r="H13" s="1">
        <f>SUM(Op_Expense[[#This Row],[Payroll]:[Other]])</f>
        <v>127000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16AFF8-40E7-4579-ADE0-725F7B54D6D0}">
  <dimension ref="A1:I13"/>
  <sheetViews>
    <sheetView workbookViewId="0">
      <selection activeCell="H2" sqref="H2"/>
    </sheetView>
  </sheetViews>
  <sheetFormatPr defaultRowHeight="15"/>
  <cols>
    <col min="1" max="1" width="9" bestFit="1" customWidth="1"/>
    <col min="2" max="2" width="16" bestFit="1" customWidth="1"/>
    <col min="3" max="3" width="16.42578125" bestFit="1" customWidth="1"/>
    <col min="4" max="4" width="9.42578125" bestFit="1" customWidth="1"/>
    <col min="5" max="5" width="12.140625" bestFit="1" customWidth="1"/>
    <col min="6" max="6" width="17.7109375" bestFit="1" customWidth="1"/>
    <col min="7" max="7" width="16.28515625" bestFit="1" customWidth="1"/>
    <col min="8" max="8" width="15.140625" bestFit="1" customWidth="1"/>
  </cols>
  <sheetData>
    <row r="1" spans="1:9">
      <c r="A1" s="10" t="s">
        <v>0</v>
      </c>
      <c r="B1" s="10" t="s">
        <v>33</v>
      </c>
      <c r="C1" s="10" t="s">
        <v>34</v>
      </c>
      <c r="D1" s="10" t="s">
        <v>26</v>
      </c>
      <c r="E1" s="10" t="s">
        <v>27</v>
      </c>
      <c r="F1" s="10" t="s">
        <v>35</v>
      </c>
      <c r="G1" s="10" t="s">
        <v>36</v>
      </c>
      <c r="H1" s="10" t="s">
        <v>37</v>
      </c>
    </row>
    <row r="2" spans="1:9">
      <c r="A2" t="s">
        <v>7</v>
      </c>
      <c r="B2" s="1">
        <v>100000</v>
      </c>
      <c r="C2" s="1">
        <v>15000</v>
      </c>
      <c r="D2" s="1">
        <v>30000</v>
      </c>
      <c r="E2" s="1">
        <v>5000</v>
      </c>
      <c r="F2" s="1">
        <v>8000</v>
      </c>
      <c r="G2" s="1">
        <f>Table4[[#This Row],[Cash Receipts]]-(Table4[[#This Row],[Payroll]]+Table4[[#This Row],[Marketing]]+Table4[[#This Row],[Other Expenses]])</f>
        <v>-28000</v>
      </c>
      <c r="H2" s="1">
        <f>Table4[[#This Row],[Opening Cash]]+Table4[[#This Row],[Net Cash Flow]]</f>
        <v>72000</v>
      </c>
      <c r="I2" s="1"/>
    </row>
    <row r="3" spans="1:9">
      <c r="A3" t="s">
        <v>8</v>
      </c>
      <c r="B3" s="1">
        <f>H2</f>
        <v>72000</v>
      </c>
      <c r="C3" s="1">
        <v>20000</v>
      </c>
      <c r="D3" s="1">
        <v>35000</v>
      </c>
      <c r="E3" s="1">
        <v>6000</v>
      </c>
      <c r="F3" s="1">
        <v>9000</v>
      </c>
      <c r="G3" s="1">
        <f>Table4[[#This Row],[Cash Receipts]]-(Table4[[#This Row],[Payroll]]+Table4[[#This Row],[Marketing]]+Table4[[#This Row],[Other Expenses]])</f>
        <v>-30000</v>
      </c>
      <c r="H3" s="1">
        <f>Table4[[#This Row],[Opening Cash]]+Table4[[#This Row],[Net Cash Flow]]</f>
        <v>42000</v>
      </c>
    </row>
    <row r="4" spans="1:9">
      <c r="A4" t="s">
        <v>9</v>
      </c>
      <c r="B4" s="1">
        <f t="shared" ref="B4:B13" si="0">H3</f>
        <v>42000</v>
      </c>
      <c r="C4" s="1">
        <v>30000</v>
      </c>
      <c r="D4" s="1">
        <v>40000</v>
      </c>
      <c r="E4" s="1">
        <v>8000</v>
      </c>
      <c r="F4" s="1">
        <v>10000</v>
      </c>
      <c r="G4" s="1">
        <f>Table4[[#This Row],[Cash Receipts]]-(Table4[[#This Row],[Payroll]]+Table4[[#This Row],[Marketing]]+Table4[[#This Row],[Other Expenses]])</f>
        <v>-28000</v>
      </c>
      <c r="H4" s="1">
        <f>Table4[[#This Row],[Opening Cash]]+Table4[[#This Row],[Net Cash Flow]]</f>
        <v>14000</v>
      </c>
    </row>
    <row r="5" spans="1:9">
      <c r="A5" t="s">
        <v>10</v>
      </c>
      <c r="B5" s="1">
        <f t="shared" si="0"/>
        <v>14000</v>
      </c>
      <c r="C5" s="1">
        <v>38000</v>
      </c>
      <c r="D5" s="1">
        <v>45000</v>
      </c>
      <c r="E5" s="1">
        <v>9000</v>
      </c>
      <c r="F5" s="1">
        <v>11000</v>
      </c>
      <c r="G5" s="1">
        <f>Table4[[#This Row],[Cash Receipts]]-(Table4[[#This Row],[Payroll]]+Table4[[#This Row],[Marketing]]+Table4[[#This Row],[Other Expenses]])</f>
        <v>-27000</v>
      </c>
      <c r="H5" s="1">
        <f>Table4[[#This Row],[Opening Cash]]+Table4[[#This Row],[Net Cash Flow]]</f>
        <v>-13000</v>
      </c>
    </row>
    <row r="6" spans="1:9">
      <c r="A6" t="s">
        <v>11</v>
      </c>
      <c r="B6" s="1">
        <f t="shared" si="0"/>
        <v>-13000</v>
      </c>
      <c r="C6" s="1">
        <v>48000</v>
      </c>
      <c r="D6" s="1">
        <v>50000</v>
      </c>
      <c r="E6" s="1">
        <v>10000</v>
      </c>
      <c r="F6" s="1">
        <v>12000</v>
      </c>
      <c r="G6" s="1">
        <f>Table4[[#This Row],[Cash Receipts]]-(Table4[[#This Row],[Payroll]]+Table4[[#This Row],[Marketing]]+Table4[[#This Row],[Other Expenses]])</f>
        <v>-24000</v>
      </c>
      <c r="H6" s="1">
        <f>Table4[[#This Row],[Opening Cash]]+Table4[[#This Row],[Net Cash Flow]]</f>
        <v>-37000</v>
      </c>
    </row>
    <row r="7" spans="1:9">
      <c r="A7" t="s">
        <v>12</v>
      </c>
      <c r="B7" s="1">
        <f t="shared" si="0"/>
        <v>-37000</v>
      </c>
      <c r="C7" s="1">
        <v>60000</v>
      </c>
      <c r="D7" s="1">
        <v>55000</v>
      </c>
      <c r="E7" s="1">
        <v>12000</v>
      </c>
      <c r="F7" s="1">
        <v>13000</v>
      </c>
      <c r="G7" s="1">
        <f>Table4[[#This Row],[Cash Receipts]]-(Table4[[#This Row],[Payroll]]+Table4[[#This Row],[Marketing]]+Table4[[#This Row],[Other Expenses]])</f>
        <v>-20000</v>
      </c>
      <c r="H7" s="1">
        <f>Table4[[#This Row],[Opening Cash]]+Table4[[#This Row],[Net Cash Flow]]</f>
        <v>-57000</v>
      </c>
    </row>
    <row r="8" spans="1:9">
      <c r="A8" t="s">
        <v>13</v>
      </c>
      <c r="B8" s="1">
        <f t="shared" si="0"/>
        <v>-57000</v>
      </c>
      <c r="C8" s="1">
        <v>75000</v>
      </c>
      <c r="D8" s="1">
        <v>60000</v>
      </c>
      <c r="E8" s="1">
        <v>14000</v>
      </c>
      <c r="F8" s="1">
        <v>14000</v>
      </c>
      <c r="G8" s="1">
        <f>Table4[[#This Row],[Cash Receipts]]-(Table4[[#This Row],[Payroll]]+Table4[[#This Row],[Marketing]]+Table4[[#This Row],[Other Expenses]])</f>
        <v>-13000</v>
      </c>
      <c r="H8" s="1">
        <f>Table4[[#This Row],[Opening Cash]]+Table4[[#This Row],[Net Cash Flow]]</f>
        <v>-70000</v>
      </c>
    </row>
    <row r="9" spans="1:9">
      <c r="A9" t="s">
        <v>14</v>
      </c>
      <c r="B9" s="1">
        <f t="shared" si="0"/>
        <v>-70000</v>
      </c>
      <c r="C9" s="1">
        <v>90000</v>
      </c>
      <c r="D9" s="1">
        <v>65000</v>
      </c>
      <c r="E9" s="1">
        <v>16000</v>
      </c>
      <c r="F9" s="1">
        <v>15000</v>
      </c>
      <c r="G9" s="1">
        <f>Table4[[#This Row],[Cash Receipts]]-(Table4[[#This Row],[Payroll]]+Table4[[#This Row],[Marketing]]+Table4[[#This Row],[Other Expenses]])</f>
        <v>-6000</v>
      </c>
      <c r="H9" s="1">
        <f>Table4[[#This Row],[Opening Cash]]+Table4[[#This Row],[Net Cash Flow]]</f>
        <v>-76000</v>
      </c>
    </row>
    <row r="10" spans="1:9">
      <c r="A10" t="s">
        <v>15</v>
      </c>
      <c r="B10" s="1">
        <f t="shared" si="0"/>
        <v>-76000</v>
      </c>
      <c r="C10" s="1">
        <v>110000</v>
      </c>
      <c r="D10" s="1">
        <v>70000</v>
      </c>
      <c r="E10" s="1">
        <v>18000</v>
      </c>
      <c r="F10" s="1">
        <v>16000</v>
      </c>
      <c r="G10" s="1">
        <f>Table4[[#This Row],[Cash Receipts]]-(Table4[[#This Row],[Payroll]]+Table4[[#This Row],[Marketing]]+Table4[[#This Row],[Other Expenses]])</f>
        <v>6000</v>
      </c>
      <c r="H10" s="1">
        <f>Table4[[#This Row],[Opening Cash]]+Table4[[#This Row],[Net Cash Flow]]</f>
        <v>-70000</v>
      </c>
    </row>
    <row r="11" spans="1:9">
      <c r="A11" t="s">
        <v>16</v>
      </c>
      <c r="B11" s="1">
        <f t="shared" si="0"/>
        <v>-70000</v>
      </c>
      <c r="C11" s="1">
        <v>130000</v>
      </c>
      <c r="D11" s="1">
        <v>75000</v>
      </c>
      <c r="E11" s="1">
        <v>20000</v>
      </c>
      <c r="F11" s="1">
        <v>17000</v>
      </c>
      <c r="G11" s="1">
        <f>Table4[[#This Row],[Cash Receipts]]-(Table4[[#This Row],[Payroll]]+Table4[[#This Row],[Marketing]]+Table4[[#This Row],[Other Expenses]])</f>
        <v>18000</v>
      </c>
      <c r="H11" s="1">
        <f>Table4[[#This Row],[Opening Cash]]+Table4[[#This Row],[Net Cash Flow]]</f>
        <v>-52000</v>
      </c>
    </row>
    <row r="12" spans="1:9">
      <c r="A12" t="s">
        <v>17</v>
      </c>
      <c r="B12" s="1">
        <f t="shared" si="0"/>
        <v>-52000</v>
      </c>
      <c r="C12" s="1">
        <v>155000</v>
      </c>
      <c r="D12" s="1">
        <v>80000</v>
      </c>
      <c r="E12" s="1">
        <v>22000</v>
      </c>
      <c r="F12" s="1">
        <v>18000</v>
      </c>
      <c r="G12" s="1">
        <f>Table4[[#This Row],[Cash Receipts]]-(Table4[[#This Row],[Payroll]]+Table4[[#This Row],[Marketing]]+Table4[[#This Row],[Other Expenses]])</f>
        <v>35000</v>
      </c>
      <c r="H12" s="1">
        <f>Table4[[#This Row],[Opening Cash]]+Table4[[#This Row],[Net Cash Flow]]</f>
        <v>-17000</v>
      </c>
    </row>
    <row r="13" spans="1:9">
      <c r="A13" t="s">
        <v>18</v>
      </c>
      <c r="B13" s="1">
        <f t="shared" si="0"/>
        <v>-17000</v>
      </c>
      <c r="C13" s="1">
        <v>185000</v>
      </c>
      <c r="D13" s="1">
        <v>85000</v>
      </c>
      <c r="E13" s="1">
        <v>25000</v>
      </c>
      <c r="F13" s="1">
        <v>20000</v>
      </c>
      <c r="G13" s="1">
        <f>Table4[[#This Row],[Cash Receipts]]-(Table4[[#This Row],[Payroll]]+Table4[[#This Row],[Marketing]]+Table4[[#This Row],[Other Expenses]])</f>
        <v>55000</v>
      </c>
      <c r="H13" s="1">
        <f>Table4[[#This Row],[Opening Cash]]+Table4[[#This Row],[Net Cash Flow]]</f>
        <v>38000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1C6A57-DBD3-4552-9276-CFEE4FCAFAAA}">
  <dimension ref="A1:N14"/>
  <sheetViews>
    <sheetView workbookViewId="0">
      <selection activeCell="N14" sqref="N14"/>
    </sheetView>
  </sheetViews>
  <sheetFormatPr defaultColWidth="9" defaultRowHeight="15"/>
  <cols>
    <col min="2" max="2" width="11.28515625" bestFit="1" customWidth="1"/>
    <col min="3" max="3" width="8.7109375" bestFit="1" customWidth="1"/>
    <col min="4" max="4" width="14" bestFit="1" customWidth="1"/>
    <col min="5" max="5" width="15" bestFit="1" customWidth="1"/>
    <col min="6" max="6" width="17.85546875" bestFit="1" customWidth="1"/>
    <col min="7" max="7" width="18.42578125" bestFit="1" customWidth="1"/>
    <col min="8" max="8" width="7.85546875" customWidth="1"/>
    <col min="9" max="9" width="9" customWidth="1"/>
    <col min="10" max="10" width="9.140625" customWidth="1"/>
    <col min="11" max="11" width="18.42578125" bestFit="1" customWidth="1"/>
    <col min="12" max="12" width="4.42578125" customWidth="1"/>
    <col min="13" max="13" width="28.28515625" bestFit="1" customWidth="1"/>
    <col min="14" max="14" width="9.5703125" bestFit="1" customWidth="1"/>
  </cols>
  <sheetData>
    <row r="1" spans="1:14">
      <c r="A1" s="10" t="s">
        <v>0</v>
      </c>
      <c r="B1" s="10" t="s">
        <v>39</v>
      </c>
      <c r="C1" s="10" t="s">
        <v>56</v>
      </c>
      <c r="D1" s="10" t="s">
        <v>57</v>
      </c>
      <c r="E1" s="10" t="s">
        <v>58</v>
      </c>
      <c r="F1" s="10" t="s">
        <v>21</v>
      </c>
      <c r="G1" s="10" t="s">
        <v>59</v>
      </c>
      <c r="H1" s="10" t="s">
        <v>60</v>
      </c>
      <c r="I1" s="10" t="s">
        <v>25</v>
      </c>
      <c r="J1" s="10" t="s">
        <v>61</v>
      </c>
      <c r="K1" s="10" t="s">
        <v>62</v>
      </c>
      <c r="M1" s="4" t="s">
        <v>40</v>
      </c>
      <c r="N1" s="4" t="s">
        <v>41</v>
      </c>
    </row>
    <row r="2" spans="1:14">
      <c r="A2" t="s">
        <v>7</v>
      </c>
      <c r="B2" s="1">
        <v>5750</v>
      </c>
      <c r="C2" s="1">
        <v>1725</v>
      </c>
      <c r="D2" s="1">
        <f>Table7[[#This Row],[Revenue]]-Table7[[#This Row],[COGS]]</f>
        <v>4025</v>
      </c>
      <c r="E2" s="17">
        <f>Table7[[#This Row],[Gross Profit]]/Table7[[#This Row],[Revenue]]</f>
        <v>0.7</v>
      </c>
      <c r="F2" s="1">
        <v>20</v>
      </c>
      <c r="G2" s="1">
        <v>5000</v>
      </c>
      <c r="H2" s="3">
        <f>Table7[[#This Row],[Marketing Spend]]/Table7[[#This Row],[New Customers]]</f>
        <v>250</v>
      </c>
      <c r="I2" s="1">
        <f>Table7[[#This Row],[Revenue]]</f>
        <v>5750</v>
      </c>
      <c r="J2" s="1">
        <f>Table7[[#This Row],[MRR]]*12</f>
        <v>69000</v>
      </c>
      <c r="M2" t="s">
        <v>63</v>
      </c>
      <c r="N2">
        <v>50</v>
      </c>
    </row>
    <row r="3" spans="1:14">
      <c r="A3" t="s">
        <v>8</v>
      </c>
      <c r="B3" s="1">
        <v>6700</v>
      </c>
      <c r="C3" s="1">
        <v>2010</v>
      </c>
      <c r="D3" s="1">
        <f>Table7[[#This Row],[Revenue]]-Table7[[#This Row],[COGS]]</f>
        <v>4690</v>
      </c>
      <c r="E3" s="17">
        <f>Table7[[#This Row],[Gross Profit]]/Table7[[#This Row],[Revenue]]</f>
        <v>0.7</v>
      </c>
      <c r="F3" s="1">
        <v>25</v>
      </c>
      <c r="G3" s="1">
        <v>6000</v>
      </c>
      <c r="H3" s="3">
        <f>Table7[[#This Row],[Marketing Spend]]/Table7[[#This Row],[New Customers]]</f>
        <v>240</v>
      </c>
      <c r="I3" s="1">
        <f>Table7[[#This Row],[Revenue]]</f>
        <v>6700</v>
      </c>
      <c r="J3" s="1">
        <f>Table7[[#This Row],[MRR]]*12</f>
        <v>80400</v>
      </c>
      <c r="K3" s="16">
        <f>(Table7[[#This Row],[Revenue]]-B2)/B2</f>
        <v>0.16521739130434782</v>
      </c>
      <c r="L3" s="16"/>
      <c r="M3" t="s">
        <v>58</v>
      </c>
      <c r="N3" s="5">
        <v>0.7</v>
      </c>
    </row>
    <row r="4" spans="1:14">
      <c r="A4" t="s">
        <v>9</v>
      </c>
      <c r="B4" s="1">
        <v>7850</v>
      </c>
      <c r="C4" s="1">
        <v>2355</v>
      </c>
      <c r="D4" s="1">
        <f>Table7[[#This Row],[Revenue]]-Table7[[#This Row],[COGS]]</f>
        <v>5495</v>
      </c>
      <c r="E4" s="17">
        <f>Table7[[#This Row],[Gross Profit]]/Table7[[#This Row],[Revenue]]</f>
        <v>0.7</v>
      </c>
      <c r="F4" s="1">
        <v>30</v>
      </c>
      <c r="G4" s="1">
        <v>8000</v>
      </c>
      <c r="H4" s="3">
        <f>Table7[[#This Row],[Marketing Spend]]/Table7[[#This Row],[New Customers]]</f>
        <v>266.66666666666669</v>
      </c>
      <c r="I4" s="1">
        <f>Table7[[#This Row],[Revenue]]</f>
        <v>7850</v>
      </c>
      <c r="J4" s="1">
        <f>Table7[[#This Row],[MRR]]*12</f>
        <v>94200</v>
      </c>
      <c r="K4" s="16">
        <f>(Table7[[#This Row],[Revenue]]-B3)/B3</f>
        <v>0.17164179104477612</v>
      </c>
      <c r="L4" s="16"/>
      <c r="M4" t="s">
        <v>64</v>
      </c>
      <c r="N4" s="5">
        <v>0.05</v>
      </c>
    </row>
    <row r="5" spans="1:14">
      <c r="A5" t="s">
        <v>10</v>
      </c>
      <c r="B5" s="1">
        <v>9200</v>
      </c>
      <c r="C5" s="1">
        <v>2760</v>
      </c>
      <c r="D5" s="1">
        <f>Table7[[#This Row],[Revenue]]-Table7[[#This Row],[COGS]]</f>
        <v>6440</v>
      </c>
      <c r="E5" s="17">
        <f>Table7[[#This Row],[Gross Profit]]/Table7[[#This Row],[Revenue]]</f>
        <v>0.7</v>
      </c>
      <c r="F5" s="1">
        <v>35</v>
      </c>
      <c r="G5" s="1">
        <v>9000</v>
      </c>
      <c r="H5" s="3">
        <f>Table7[[#This Row],[Marketing Spend]]/Table7[[#This Row],[New Customers]]</f>
        <v>257.14285714285717</v>
      </c>
      <c r="I5" s="1">
        <f>Table7[[#This Row],[Revenue]]</f>
        <v>9200</v>
      </c>
      <c r="J5" s="1">
        <f>Table7[[#This Row],[MRR]]*12</f>
        <v>110400</v>
      </c>
      <c r="K5" s="16">
        <f>(Table7[[#This Row],[Revenue]]-B4)/B4</f>
        <v>0.17197452229299362</v>
      </c>
      <c r="L5" s="16"/>
      <c r="M5" s="2"/>
    </row>
    <row r="6" spans="1:14" ht="18">
      <c r="A6" t="s">
        <v>11</v>
      </c>
      <c r="B6" s="1">
        <v>10750</v>
      </c>
      <c r="C6" s="1">
        <v>3225</v>
      </c>
      <c r="D6" s="1">
        <f>Table7[[#This Row],[Revenue]]-Table7[[#This Row],[COGS]]</f>
        <v>7525</v>
      </c>
      <c r="E6" s="17">
        <f>Table7[[#This Row],[Gross Profit]]/Table7[[#This Row],[Revenue]]</f>
        <v>0.7</v>
      </c>
      <c r="F6" s="1">
        <v>40</v>
      </c>
      <c r="G6" s="1">
        <v>10000</v>
      </c>
      <c r="H6" s="3">
        <f>Table7[[#This Row],[Marketing Spend]]/Table7[[#This Row],[New Customers]]</f>
        <v>250</v>
      </c>
      <c r="I6" s="1">
        <f>Table7[[#This Row],[Revenue]]</f>
        <v>10750</v>
      </c>
      <c r="J6" s="1">
        <f>Table7[[#This Row],[MRR]]*12</f>
        <v>129000</v>
      </c>
      <c r="K6" s="16">
        <f>(Table7[[#This Row],[Revenue]]-B5)/B5</f>
        <v>0.16847826086956522</v>
      </c>
      <c r="L6" s="16"/>
      <c r="M6" s="24" t="s">
        <v>67</v>
      </c>
      <c r="N6" s="24"/>
    </row>
    <row r="7" spans="1:14">
      <c r="A7" t="s">
        <v>12</v>
      </c>
      <c r="B7" s="1">
        <v>12450</v>
      </c>
      <c r="C7" s="1">
        <v>3735</v>
      </c>
      <c r="D7" s="1">
        <f>Table7[[#This Row],[Revenue]]-Table7[[#This Row],[COGS]]</f>
        <v>8715</v>
      </c>
      <c r="E7" s="17">
        <f>Table7[[#This Row],[Gross Profit]]/Table7[[#This Row],[Revenue]]</f>
        <v>0.7</v>
      </c>
      <c r="F7" s="1">
        <v>45</v>
      </c>
      <c r="G7" s="1">
        <v>12000</v>
      </c>
      <c r="H7" s="3">
        <f>Table7[[#This Row],[Marketing Spend]]/Table7[[#This Row],[New Customers]]</f>
        <v>266.66666666666669</v>
      </c>
      <c r="I7" s="1">
        <f>Table7[[#This Row],[Revenue]]</f>
        <v>12450</v>
      </c>
      <c r="J7" s="1">
        <f>Table7[[#This Row],[MRR]]*12</f>
        <v>149400</v>
      </c>
      <c r="K7" s="16">
        <f>(Table7[[#This Row],[Revenue]]-B6)/B6</f>
        <v>0.15813953488372093</v>
      </c>
      <c r="L7" s="16"/>
      <c r="M7" s="23" t="s">
        <v>68</v>
      </c>
      <c r="N7" s="23" t="s">
        <v>69</v>
      </c>
    </row>
    <row r="8" spans="1:14">
      <c r="A8" t="s">
        <v>13</v>
      </c>
      <c r="B8" s="1">
        <v>14350</v>
      </c>
      <c r="C8" s="1">
        <v>4305</v>
      </c>
      <c r="D8" s="1">
        <f>Table7[[#This Row],[Revenue]]-Table7[[#This Row],[COGS]]</f>
        <v>10045</v>
      </c>
      <c r="E8" s="17">
        <f>Table7[[#This Row],[Gross Profit]]/Table7[[#This Row],[Revenue]]</f>
        <v>0.7</v>
      </c>
      <c r="F8" s="1">
        <v>50</v>
      </c>
      <c r="G8" s="1">
        <v>14000</v>
      </c>
      <c r="H8" s="3">
        <f>Table7[[#This Row],[Marketing Spend]]/Table7[[#This Row],[New Customers]]</f>
        <v>280</v>
      </c>
      <c r="I8" s="1">
        <f>Table7[[#This Row],[Revenue]]</f>
        <v>14350</v>
      </c>
      <c r="J8" s="1">
        <f>Table7[[#This Row],[MRR]]*12</f>
        <v>172200</v>
      </c>
      <c r="K8" s="16">
        <f>(Table7[[#This Row],[Revenue]]-B7)/B7</f>
        <v>0.15261044176706828</v>
      </c>
      <c r="L8" s="16"/>
      <c r="M8" s="14" t="s">
        <v>70</v>
      </c>
      <c r="N8" s="18">
        <f>SUM(B2:B13)</f>
        <v>174700</v>
      </c>
    </row>
    <row r="9" spans="1:14">
      <c r="A9" t="s">
        <v>14</v>
      </c>
      <c r="B9" s="1">
        <v>16400</v>
      </c>
      <c r="C9" s="1">
        <v>4920</v>
      </c>
      <c r="D9" s="1">
        <f>Table7[[#This Row],[Revenue]]-Table7[[#This Row],[COGS]]</f>
        <v>11480</v>
      </c>
      <c r="E9" s="17">
        <f>Table7[[#This Row],[Gross Profit]]/Table7[[#This Row],[Revenue]]</f>
        <v>0.7</v>
      </c>
      <c r="F9" s="1">
        <v>55</v>
      </c>
      <c r="G9" s="1">
        <v>16000</v>
      </c>
      <c r="H9" s="3">
        <f>Table7[[#This Row],[Marketing Spend]]/Table7[[#This Row],[New Customers]]</f>
        <v>290.90909090909093</v>
      </c>
      <c r="I9" s="1">
        <f>Table7[[#This Row],[Revenue]]</f>
        <v>16400</v>
      </c>
      <c r="J9" s="1">
        <f>Table7[[#This Row],[MRR]]*12</f>
        <v>196800</v>
      </c>
      <c r="K9" s="16">
        <f>(Table7[[#This Row],[Revenue]]-B8)/B8</f>
        <v>0.14285714285714285</v>
      </c>
      <c r="L9" s="16"/>
      <c r="M9" s="14" t="s">
        <v>71</v>
      </c>
      <c r="N9" s="19">
        <f>AVERAGE(E2:E13)</f>
        <v>0.70000000000000007</v>
      </c>
    </row>
    <row r="10" spans="1:14">
      <c r="A10" t="s">
        <v>15</v>
      </c>
      <c r="B10" s="1">
        <v>18600</v>
      </c>
      <c r="C10" s="1">
        <v>5580</v>
      </c>
      <c r="D10" s="1">
        <f>Table7[[#This Row],[Revenue]]-Table7[[#This Row],[COGS]]</f>
        <v>13020</v>
      </c>
      <c r="E10" s="17">
        <f>Table7[[#This Row],[Gross Profit]]/Table7[[#This Row],[Revenue]]</f>
        <v>0.7</v>
      </c>
      <c r="F10" s="1">
        <v>60</v>
      </c>
      <c r="G10" s="1">
        <v>18000</v>
      </c>
      <c r="H10" s="3">
        <f>Table7[[#This Row],[Marketing Spend]]/Table7[[#This Row],[New Customers]]</f>
        <v>300</v>
      </c>
      <c r="I10" s="1">
        <f>Table7[[#This Row],[Revenue]]</f>
        <v>18600</v>
      </c>
      <c r="J10" s="1">
        <f>Table7[[#This Row],[MRR]]*12</f>
        <v>223200</v>
      </c>
      <c r="K10" s="16">
        <f>(Table7[[#This Row],[Revenue]]-B9)/B9</f>
        <v>0.13414634146341464</v>
      </c>
      <c r="L10" s="16"/>
      <c r="M10" s="14" t="s">
        <v>72</v>
      </c>
      <c r="N10" s="20">
        <f>AVERAGE(H2:H13)</f>
        <v>269.98977873977873</v>
      </c>
    </row>
    <row r="11" spans="1:14">
      <c r="A11" t="s">
        <v>16</v>
      </c>
      <c r="B11" s="1">
        <v>21150</v>
      </c>
      <c r="C11" s="1">
        <v>6345</v>
      </c>
      <c r="D11" s="1">
        <f>Table7[[#This Row],[Revenue]]-Table7[[#This Row],[COGS]]</f>
        <v>14805</v>
      </c>
      <c r="E11" s="17">
        <f>Table7[[#This Row],[Gross Profit]]/Table7[[#This Row],[Revenue]]</f>
        <v>0.7</v>
      </c>
      <c r="F11" s="1">
        <v>70</v>
      </c>
      <c r="G11" s="1">
        <v>20000</v>
      </c>
      <c r="H11" s="3">
        <f>Table7[[#This Row],[Marketing Spend]]/Table7[[#This Row],[New Customers]]</f>
        <v>285.71428571428572</v>
      </c>
      <c r="I11" s="1">
        <f>Table7[[#This Row],[Revenue]]</f>
        <v>21150</v>
      </c>
      <c r="J11" s="1">
        <f>Table7[[#This Row],[MRR]]*12</f>
        <v>253800</v>
      </c>
      <c r="K11" s="16">
        <f>(Table7[[#This Row],[Revenue]]-B10)/B10</f>
        <v>0.13709677419354838</v>
      </c>
      <c r="L11" s="16"/>
      <c r="M11" s="14" t="s">
        <v>73</v>
      </c>
      <c r="N11" s="21" cm="1">
        <f t="array" ref="N11">LOOKUP(2,1/(J2:J13&lt;&gt;""),J2:J13)</f>
        <v>328800</v>
      </c>
    </row>
    <row r="12" spans="1:14">
      <c r="A12" t="s">
        <v>17</v>
      </c>
      <c r="B12" s="1">
        <v>24100</v>
      </c>
      <c r="C12" s="1">
        <v>7230</v>
      </c>
      <c r="D12" s="1">
        <f>Table7[[#This Row],[Revenue]]-Table7[[#This Row],[COGS]]</f>
        <v>16870</v>
      </c>
      <c r="E12" s="17">
        <f>Table7[[#This Row],[Gross Profit]]/Table7[[#This Row],[Revenue]]</f>
        <v>0.7</v>
      </c>
      <c r="F12" s="1">
        <v>80</v>
      </c>
      <c r="G12" s="1">
        <v>22000</v>
      </c>
      <c r="H12" s="3">
        <f>Table7[[#This Row],[Marketing Spend]]/Table7[[#This Row],[New Customers]]</f>
        <v>275</v>
      </c>
      <c r="I12" s="1">
        <f>Table7[[#This Row],[Revenue]]</f>
        <v>24100</v>
      </c>
      <c r="J12" s="1">
        <f>Table7[[#This Row],[MRR]]*12</f>
        <v>289200</v>
      </c>
      <c r="K12" s="16">
        <f>(Table7[[#This Row],[Revenue]]-B11)/B11</f>
        <v>0.13947990543735225</v>
      </c>
      <c r="L12" s="16"/>
      <c r="M12" s="14" t="s">
        <v>74</v>
      </c>
      <c r="N12" s="22">
        <f>AVERAGE(K3:K13)</f>
        <v>0.15259741515407663</v>
      </c>
    </row>
    <row r="13" spans="1:14">
      <c r="A13" t="s">
        <v>18</v>
      </c>
      <c r="B13" s="1">
        <v>27400</v>
      </c>
      <c r="C13" s="1">
        <v>8220</v>
      </c>
      <c r="D13" s="1">
        <f>Table7[[#This Row],[Revenue]]-Table7[[#This Row],[COGS]]</f>
        <v>19180</v>
      </c>
      <c r="E13" s="17">
        <f>Table7[[#This Row],[Gross Profit]]/Table7[[#This Row],[Revenue]]</f>
        <v>0.7</v>
      </c>
      <c r="F13" s="1">
        <v>90</v>
      </c>
      <c r="G13" s="1">
        <v>25000</v>
      </c>
      <c r="H13" s="3">
        <f>Table7[[#This Row],[Marketing Spend]]/Table7[[#This Row],[New Customers]]</f>
        <v>277.77777777777777</v>
      </c>
      <c r="I13" s="1">
        <f>Table7[[#This Row],[Revenue]]</f>
        <v>27400</v>
      </c>
      <c r="J13" s="1">
        <f>Table7[[#This Row],[MRR]]*12</f>
        <v>328800</v>
      </c>
      <c r="K13" s="16">
        <f>(Table7[[#This Row],[Revenue]]-B12)/B12</f>
        <v>0.13692946058091288</v>
      </c>
      <c r="L13" s="16"/>
      <c r="M13" s="14" t="s">
        <v>65</v>
      </c>
      <c r="N13">
        <f>$N$2*E2/$N$4</f>
        <v>700</v>
      </c>
    </row>
    <row r="14" spans="1:14">
      <c r="M14" s="14" t="s">
        <v>66</v>
      </c>
      <c r="N14" s="3">
        <f>N13/AVERAGE(Table7[CAC])</f>
        <v>2.5926907428398365</v>
      </c>
    </row>
  </sheetData>
  <mergeCells count="1">
    <mergeCell ref="M6:N6"/>
  </mergeCell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Burn Rate</vt:lpstr>
      <vt:lpstr>Revenue Forecast</vt:lpstr>
      <vt:lpstr>Operating Expense Forecast</vt:lpstr>
      <vt:lpstr>Cash Flow</vt:lpstr>
      <vt:lpstr>Financial Projection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GTM Publishing</dc:creator>
  <cp:lastModifiedBy>GTM Publishing</cp:lastModifiedBy>
  <dcterms:created xsi:type="dcterms:W3CDTF">2026-06-10T15:48:21Z</dcterms:created>
  <dcterms:modified xsi:type="dcterms:W3CDTF">2026-06-18T14:13:25Z</dcterms:modified>
</cp:coreProperties>
</file>