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hemay\Downloads\"/>
    </mc:Choice>
  </mc:AlternateContent>
  <xr:revisionPtr revIDLastSave="0" documentId="8_{765D94E4-9DE6-4FEB-80C3-682B98D50DCF}" xr6:coauthVersionLast="47" xr6:coauthVersionMax="47" xr10:uidLastSave="{00000000-0000-0000-0000-000000000000}"/>
  <bookViews>
    <workbookView xWindow="-120" yWindow="-120" windowWidth="20730" windowHeight="11040" xr2:uid="{34A9C3D9-E0C1-46AA-81AA-616CEF4081A6}"/>
  </bookViews>
  <sheets>
    <sheet name="SalesData" sheetId="2" r:id="rId1"/>
    <sheet name="SalesSummary" sheetId="3" r:id="rId2"/>
    <sheet name="SalesByCategory" sheetId="4" r:id="rId3"/>
    <sheet name="PivotSales" sheetId="5" r:id="rId4"/>
  </sheets>
  <definedNames>
    <definedName name="_xlnm._FilterDatabase" localSheetId="0" hidden="1">SalesData!$A$1:$I$61</definedName>
    <definedName name="Slicer_Category">#N/A</definedName>
  </definedNames>
  <calcPr calcId="191029"/>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2" i="2" l="1"/>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C15" i="3"/>
  <c r="D14" i="3"/>
  <c r="E13" i="3"/>
  <c r="F33" i="4"/>
  <c r="E33" i="4"/>
  <c r="D33" i="4"/>
  <c r="C33" i="4"/>
  <c r="F32" i="4"/>
  <c r="E32" i="4"/>
  <c r="D32" i="4"/>
  <c r="C32" i="4"/>
  <c r="F31" i="4"/>
  <c r="E31" i="4"/>
  <c r="D31" i="4"/>
  <c r="C31" i="4"/>
  <c r="F30" i="4"/>
  <c r="E30" i="4"/>
  <c r="D30" i="4"/>
  <c r="C30" i="4"/>
  <c r="F29" i="4"/>
  <c r="E29" i="4"/>
  <c r="D29" i="4"/>
  <c r="C29" i="4"/>
  <c r="F28" i="4"/>
  <c r="F34" i="4" s="1"/>
  <c r="E28" i="4"/>
  <c r="E34" i="4" s="1"/>
  <c r="D28" i="4"/>
  <c r="D34" i="4" s="1"/>
  <c r="C28" i="4"/>
  <c r="C34" i="4" s="1"/>
  <c r="F25" i="4"/>
  <c r="E25" i="4"/>
  <c r="D25" i="4"/>
  <c r="C25" i="4"/>
  <c r="F24" i="4"/>
  <c r="E24" i="4"/>
  <c r="D24" i="4"/>
  <c r="C24" i="4"/>
  <c r="F23" i="4"/>
  <c r="E23" i="4"/>
  <c r="D23" i="4"/>
  <c r="C23" i="4"/>
  <c r="F22" i="4"/>
  <c r="E22" i="4"/>
  <c r="D22" i="4"/>
  <c r="C22" i="4"/>
  <c r="F21" i="4"/>
  <c r="E21" i="4"/>
  <c r="D21" i="4"/>
  <c r="C21" i="4"/>
  <c r="F20" i="4"/>
  <c r="F26" i="4" s="1"/>
  <c r="E20" i="4"/>
  <c r="E26" i="4" s="1"/>
  <c r="D20" i="4"/>
  <c r="D26" i="4" s="1"/>
  <c r="C20" i="4"/>
  <c r="C26" i="4" s="1"/>
  <c r="F17" i="4"/>
  <c r="E17" i="4"/>
  <c r="D17" i="4"/>
  <c r="C17" i="4"/>
  <c r="F16" i="4"/>
  <c r="E16" i="4"/>
  <c r="D16" i="4"/>
  <c r="C16" i="4"/>
  <c r="F15" i="4"/>
  <c r="E15" i="4"/>
  <c r="D15" i="4"/>
  <c r="C15" i="4"/>
  <c r="F14" i="4"/>
  <c r="E14" i="4"/>
  <c r="D14" i="4"/>
  <c r="C14" i="4"/>
  <c r="F13" i="4"/>
  <c r="E13" i="4"/>
  <c r="D13" i="4"/>
  <c r="C13" i="4"/>
  <c r="F12" i="4"/>
  <c r="F18" i="4" s="1"/>
  <c r="E12" i="4"/>
  <c r="E18" i="4" s="1"/>
  <c r="D12" i="4"/>
  <c r="D18" i="4" s="1"/>
  <c r="C12" i="4"/>
  <c r="C18" i="4" s="1"/>
  <c r="F9" i="4"/>
  <c r="E9" i="4"/>
  <c r="D9" i="4"/>
  <c r="C9" i="4"/>
  <c r="F8" i="4"/>
  <c r="E8" i="4"/>
  <c r="D8" i="4"/>
  <c r="C8" i="4"/>
  <c r="F7" i="4"/>
  <c r="E7" i="4"/>
  <c r="D7" i="4"/>
  <c r="C7" i="4"/>
  <c r="F6" i="4"/>
  <c r="E6" i="4"/>
  <c r="D6" i="4"/>
  <c r="C6" i="4"/>
  <c r="F5" i="4"/>
  <c r="E5" i="4"/>
  <c r="D5" i="4"/>
  <c r="C5" i="4"/>
  <c r="F4" i="4"/>
  <c r="F10" i="4" s="1"/>
  <c r="F36" i="4" s="1"/>
  <c r="E4" i="4"/>
  <c r="E10" i="4" s="1"/>
  <c r="E36" i="4" s="1"/>
  <c r="D4" i="4"/>
  <c r="D10" i="4" s="1"/>
  <c r="D36" i="4" s="1"/>
  <c r="C4" i="4"/>
  <c r="C10" i="4" s="1"/>
  <c r="C36" i="4" s="1"/>
  <c r="D7" i="3"/>
  <c r="D16" i="3" s="1"/>
  <c r="D6" i="3"/>
  <c r="D15" i="3" s="1"/>
  <c r="D5" i="3"/>
  <c r="D4" i="3"/>
  <c r="D13" i="3" s="1"/>
  <c r="C7" i="3"/>
  <c r="E16" i="3" s="1"/>
  <c r="C6" i="3"/>
  <c r="B15" i="3" s="1"/>
  <c r="F15" i="3" s="1"/>
  <c r="C5" i="3"/>
  <c r="B14" i="3" s="1"/>
  <c r="F14" i="3" s="1"/>
  <c r="C4" i="3"/>
  <c r="C8" i="3" s="1"/>
  <c r="B7" i="3"/>
  <c r="C16" i="3" s="1"/>
  <c r="B6" i="3"/>
  <c r="E6" i="3" s="1"/>
  <c r="B5" i="3"/>
  <c r="C14" i="3" s="1"/>
  <c r="B4" i="3"/>
  <c r="C13" i="3" s="1"/>
  <c r="E7" i="3" l="1"/>
  <c r="E4" i="3"/>
  <c r="B8" i="3"/>
  <c r="B13" i="3"/>
  <c r="F13" i="3" s="1"/>
  <c r="E14" i="3"/>
  <c r="B16" i="3"/>
  <c r="F16" i="3" s="1"/>
  <c r="E15" i="3"/>
  <c r="E5" i="3"/>
  <c r="D8" i="3"/>
  <c r="E8" i="3" l="1"/>
</calcChain>
</file>

<file path=xl/sharedStrings.xml><?xml version="1.0" encoding="utf-8"?>
<sst xmlns="http://schemas.openxmlformats.org/spreadsheetml/2006/main" count="356" uniqueCount="70">
  <si>
    <t>Laptop Stand</t>
  </si>
  <si>
    <t>Monitor</t>
  </si>
  <si>
    <t>Keyboard</t>
  </si>
  <si>
    <t>Wireless Mouse</t>
  </si>
  <si>
    <t>Webcam</t>
  </si>
  <si>
    <t>Sales Rep</t>
  </si>
  <si>
    <t>Unit Price</t>
  </si>
  <si>
    <t>Product</t>
  </si>
  <si>
    <t>Order Date</t>
  </si>
  <si>
    <t>Order ID</t>
  </si>
  <si>
    <t>Region</t>
  </si>
  <si>
    <t>Category</t>
  </si>
  <si>
    <t>Units</t>
  </si>
  <si>
    <t>Total Sales</t>
  </si>
  <si>
    <t>East</t>
  </si>
  <si>
    <t>Maria</t>
  </si>
  <si>
    <t>Accessories</t>
  </si>
  <si>
    <t>West</t>
  </si>
  <si>
    <t>James</t>
  </si>
  <si>
    <t>Laptop</t>
  </si>
  <si>
    <t>Computers</t>
  </si>
  <si>
    <t>South</t>
  </si>
  <si>
    <t>Aisha</t>
  </si>
  <si>
    <t>North</t>
  </si>
  <si>
    <t>Liam</t>
  </si>
  <si>
    <t>Displays</t>
  </si>
  <si>
    <t>Noah</t>
  </si>
  <si>
    <t>Printer</t>
  </si>
  <si>
    <t>Office Equipment</t>
  </si>
  <si>
    <t>Emma</t>
  </si>
  <si>
    <t>USB Hub</t>
  </si>
  <si>
    <t>Olivia</t>
  </si>
  <si>
    <t>Desk Chair</t>
  </si>
  <si>
    <t>Furniture</t>
  </si>
  <si>
    <t>William</t>
  </si>
  <si>
    <t>Tablet</t>
  </si>
  <si>
    <t>Mobile Devices</t>
  </si>
  <si>
    <t>Desk</t>
  </si>
  <si>
    <t>Row Labels</t>
  </si>
  <si>
    <t>Grand Total</t>
  </si>
  <si>
    <t>Column Labels</t>
  </si>
  <si>
    <t>Sum of Total Sales</t>
  </si>
  <si>
    <t>Total Sales by Region and Month</t>
  </si>
  <si>
    <t>January</t>
  </si>
  <si>
    <t>February</t>
  </si>
  <si>
    <t>March</t>
  </si>
  <si>
    <t>Total Sales by Region, Month, and Product Category</t>
  </si>
  <si>
    <t>Category Total</t>
  </si>
  <si>
    <t>East Total</t>
  </si>
  <si>
    <t>North Total</t>
  </si>
  <si>
    <t>South Total</t>
  </si>
  <si>
    <t>West Total</t>
  </si>
  <si>
    <t>Month-over-Month Change Analysis by Region</t>
  </si>
  <si>
    <t>Jan→Feb Change</t>
  </si>
  <si>
    <t>Jan→Feb %</t>
  </si>
  <si>
    <t>Feb→Mar Change</t>
  </si>
  <si>
    <t>Feb→Mar %</t>
  </si>
  <si>
    <t>Biggest Drop</t>
  </si>
  <si>
    <t>⚠️ BIGGEST DROP:</t>
  </si>
  <si>
    <t>January → February</t>
  </si>
  <si>
    <t>Drop Amount:</t>
  </si>
  <si>
    <t>-$1,715 (-68%)</t>
  </si>
  <si>
    <t>Drop Amount</t>
  </si>
  <si>
    <t>Drop %</t>
  </si>
  <si>
    <t>Month</t>
  </si>
  <si>
    <t>📊 Month-over-Month Sales Drop Analysis</t>
  </si>
  <si>
    <t>No Drop</t>
  </si>
  <si>
    <t>N/A</t>
  </si>
  <si>
    <t>Jan→Feb</t>
  </si>
  <si>
    <t>🔴 BIGGEST DROP: 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</si>
</sst>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b/>
      <sz val="11"/>
      <color rgb="FFFFFFFF"/>
      <name val="Aptos Narrow"/>
      <family val="2"/>
      <scheme val="minor"/>
    </font>
    <font>
      <b/>
      <sz val="12"/>
      <color theme="1"/>
      <name val="Aptos Narrow"/>
      <family val="2"/>
      <scheme val="minor"/>
    </font>
    <font>
      <b/>
      <sz val="11"/>
      <color rgb="FFC00000"/>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rgb="FF4472C4"/>
        <bgColor indexed="64"/>
      </patternFill>
    </fill>
    <fill>
      <patternFill patternType="solid">
        <fgColor rgb="FFD9E2F3"/>
        <bgColor indexed="64"/>
      </patternFill>
    </fill>
    <fill>
      <patternFill patternType="solid">
        <fgColor rgb="FFD6DCE5"/>
        <bgColor indexed="64"/>
      </patternFill>
    </fill>
    <fill>
      <patternFill patternType="solid">
        <fgColor rgb="FFFFCC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14" fontId="0" fillId="0" borderId="0" xfId="0" applyNumberFormat="1"/>
    <xf numFmtId="0" fontId="0" fillId="0" borderId="0" xfId="0" pivotButton="1"/>
    <xf numFmtId="0" fontId="0" fillId="0" borderId="0" xfId="0" applyAlignment="1">
      <alignment horizontal="left"/>
    </xf>
    <xf numFmtId="3" fontId="0" fillId="0" borderId="0" xfId="0" applyNumberFormat="1"/>
    <xf numFmtId="0" fontId="2" fillId="0" borderId="0" xfId="0" applyFont="1"/>
    <xf numFmtId="0" fontId="3" fillId="0" borderId="0" xfId="0" applyFont="1"/>
    <xf numFmtId="0" fontId="4" fillId="2" borderId="0" xfId="0" applyFont="1" applyFill="1"/>
    <xf numFmtId="0" fontId="2" fillId="3" borderId="0" xfId="0" applyFont="1" applyFill="1"/>
    <xf numFmtId="3" fontId="2" fillId="3" borderId="0" xfId="0" applyNumberFormat="1" applyFont="1" applyFill="1"/>
    <xf numFmtId="0" fontId="2" fillId="4" borderId="0" xfId="0" applyFont="1" applyFill="1"/>
    <xf numFmtId="3" fontId="2" fillId="4" borderId="0" xfId="0" applyNumberFormat="1" applyFont="1" applyFill="1"/>
    <xf numFmtId="3" fontId="4" fillId="2" borderId="0" xfId="0" applyNumberFormat="1" applyFont="1" applyFill="1"/>
    <xf numFmtId="0" fontId="5" fillId="0" borderId="0" xfId="0" applyFont="1"/>
    <xf numFmtId="164" fontId="0" fillId="0" borderId="0" xfId="0" applyNumberFormat="1"/>
    <xf numFmtId="0" fontId="6" fillId="0" borderId="0" xfId="0" applyFont="1"/>
    <xf numFmtId="0" fontId="6" fillId="5" borderId="0" xfId="0" applyFont="1" applyFill="1"/>
    <xf numFmtId="0" fontId="4" fillId="2" borderId="1" xfId="0" applyFont="1" applyFill="1" applyBorder="1"/>
    <xf numFmtId="0" fontId="0" fillId="0" borderId="1" xfId="0" applyBorder="1"/>
    <xf numFmtId="164" fontId="0" fillId="0" borderId="1" xfId="0" applyNumberFormat="1" applyBorder="1"/>
    <xf numFmtId="9" fontId="0" fillId="0" borderId="1" xfId="0" applyNumberFormat="1" applyBorder="1"/>
    <xf numFmtId="9" fontId="1" fillId="0" borderId="0" xfId="0" applyNumberFormat="1" applyFont="1"/>
    <xf numFmtId="0" fontId="0" fillId="5" borderId="0" xfId="0" applyFill="1"/>
    <xf numFmtId="9" fontId="1" fillId="5" borderId="0" xfId="0" applyNumberFormat="1" applyFont="1" applyFill="1"/>
    <xf numFmtId="164" fontId="0" fillId="5" borderId="0" xfId="0" applyNumberFormat="1" applyFill="1"/>
    <xf numFmtId="164" fontId="1" fillId="0" borderId="0" xfId="0" applyNumberFormat="1" applyFont="1"/>
    <xf numFmtId="164" fontId="1" fillId="5" borderId="0" xfId="0" applyNumberFormat="1" applyFont="1" applyFill="1"/>
    <xf numFmtId="0" fontId="7" fillId="0" borderId="0" xfId="0" applyFont="1"/>
    <xf numFmtId="0" fontId="3" fillId="0" borderId="0" xfId="0" applyFont="1"/>
    <xf numFmtId="0" fontId="0" fillId="0" borderId="0" xfId="0"/>
  </cellXfs>
  <cellStyles count="1">
    <cellStyle name="Normal" xfId="0" builtinId="0"/>
  </cellStyles>
  <dxfs count="2">
    <dxf>
      <font>
        <b/>
        <i val="0"/>
        <color rgb="FF8B0000"/>
      </font>
      <fill>
        <patternFill patternType="solid">
          <fgColor indexed="64"/>
          <bgColor rgb="FFFF6B6B"/>
        </patternFill>
      </fill>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1</xdr:row>
      <xdr:rowOff>66675</xdr:rowOff>
    </xdr:from>
    <xdr:to>
      <xdr:col>8</xdr:col>
      <xdr:colOff>600075</xdr:colOff>
      <xdr:row>15</xdr:row>
      <xdr:rowOff>66675</xdr:rowOff>
    </xdr:to>
    <mc:AlternateContent xmlns:mc="http://schemas.openxmlformats.org/markup-compatibility/2006" xmlns:a14="http://schemas.microsoft.com/office/drawing/2010/main">
      <mc:Choice Requires="a14">
        <xdr:graphicFrame macro="">
          <xdr:nvGraphicFramePr>
            <xdr:cNvPr id="2" name="Category">
              <a:extLst>
                <a:ext uri="{FF2B5EF4-FFF2-40B4-BE49-F238E27FC236}">
                  <a16:creationId xmlns:a16="http://schemas.microsoft.com/office/drawing/2014/main" id="{587D1859-9B73-CA2D-A4B9-67EB1D796991}"/>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4533900" y="2571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mima Sultana" refreshedDate="46131.530564004628" createdVersion="8" refreshedVersion="8" minRefreshableVersion="3" recordCount="60" xr:uid="{2A2B7B59-1A3E-4E27-ACBE-BD3FA586FE59}">
  <cacheSource type="worksheet">
    <worksheetSource ref="A1:J61" sheet="SalesData"/>
  </cacheSource>
  <cacheFields count="10">
    <cacheField name="Order ID" numFmtId="0">
      <sharedItems containsSemiMixedTypes="0" containsString="0" containsNumber="1" containsInteger="1" minValue="1001" maxValue="1060"/>
    </cacheField>
    <cacheField name="Order Date" numFmtId="14">
      <sharedItems containsSemiMixedTypes="0" containsNonDate="0" containsDate="1" containsString="0" minDate="2026-01-03T00:00:00" maxDate="2026-03-15T00:00:00"/>
    </cacheField>
    <cacheField name="Region" numFmtId="0">
      <sharedItems count="4">
        <s v="East"/>
        <s v="West"/>
        <s v="South"/>
        <s v="North"/>
      </sharedItems>
    </cacheField>
    <cacheField name="Sales Rep" numFmtId="0">
      <sharedItems count="8">
        <s v="Maria"/>
        <s v="James"/>
        <s v="Aisha"/>
        <s v="Liam"/>
        <s v="Noah"/>
        <s v="Emma"/>
        <s v="Olivia"/>
        <s v="William"/>
      </sharedItems>
    </cacheField>
    <cacheField name="Product" numFmtId="0">
      <sharedItems/>
    </cacheField>
    <cacheField name="Category" numFmtId="0">
      <sharedItems count="6">
        <s v="Accessories"/>
        <s v="Computers"/>
        <s v="Displays"/>
        <s v="Office Equipment"/>
        <s v="Furniture"/>
        <s v="Mobile Devices"/>
      </sharedItems>
    </cacheField>
    <cacheField name="Units" numFmtId="0">
      <sharedItems containsSemiMixedTypes="0" containsString="0" containsNumber="1" containsInteger="1" minValue="1" maxValue="10"/>
    </cacheField>
    <cacheField name="Unit Price" numFmtId="0">
      <sharedItems containsSemiMixedTypes="0" containsString="0" containsNumber="1" containsInteger="1" minValue="18" maxValue="940"/>
    </cacheField>
    <cacheField name="Total Sales" numFmtId="0">
      <sharedItems containsSemiMixedTypes="0" containsString="0" containsNumber="1" containsInteger="1" minValue="90" maxValue="1760"/>
    </cacheField>
    <cacheField name="Month" numFmtId="0">
      <sharedItems count="3">
        <s v="January"/>
        <s v="February"/>
        <s v="March"/>
      </sharedItems>
    </cacheField>
  </cacheFields>
  <extLst>
    <ext xmlns:x14="http://schemas.microsoft.com/office/spreadsheetml/2009/9/main" uri="{725AE2AE-9491-48be-B2B4-4EB974FC3084}">
      <x14:pivotCacheDefinition pivotCacheId="42056724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n v="1001"/>
    <d v="2026-01-03T00:00:00"/>
    <x v="0"/>
    <x v="0"/>
    <s v="Wireless Mouse"/>
    <x v="0"/>
    <n v="5"/>
    <n v="18"/>
    <n v="90"/>
    <x v="0"/>
  </r>
  <r>
    <n v="1002"/>
    <d v="2026-01-03T00:00:00"/>
    <x v="1"/>
    <x v="1"/>
    <s v="Laptop"/>
    <x v="1"/>
    <n v="2"/>
    <n v="850"/>
    <n v="1700"/>
    <x v="0"/>
  </r>
  <r>
    <n v="1003"/>
    <d v="2026-01-04T00:00:00"/>
    <x v="2"/>
    <x v="2"/>
    <s v="Keyboard"/>
    <x v="0"/>
    <n v="4"/>
    <n v="32"/>
    <n v="128"/>
    <x v="0"/>
  </r>
  <r>
    <n v="1004"/>
    <d v="2026-01-04T00:00:00"/>
    <x v="3"/>
    <x v="3"/>
    <s v="Monitor"/>
    <x v="2"/>
    <n v="3"/>
    <n v="220"/>
    <n v="660"/>
    <x v="0"/>
  </r>
  <r>
    <n v="1005"/>
    <d v="2026-01-05T00:00:00"/>
    <x v="0"/>
    <x v="4"/>
    <s v="Printer"/>
    <x v="3"/>
    <n v="1"/>
    <n v="280"/>
    <n v="280"/>
    <x v="0"/>
  </r>
  <r>
    <n v="1006"/>
    <d v="2026-01-05T00:00:00"/>
    <x v="1"/>
    <x v="5"/>
    <s v="USB Hub"/>
    <x v="0"/>
    <n v="6"/>
    <n v="25"/>
    <n v="150"/>
    <x v="0"/>
  </r>
  <r>
    <n v="1007"/>
    <d v="2026-01-06T00:00:00"/>
    <x v="2"/>
    <x v="6"/>
    <s v="Desk Chair"/>
    <x v="4"/>
    <n v="2"/>
    <n v="145"/>
    <n v="290"/>
    <x v="0"/>
  </r>
  <r>
    <n v="1008"/>
    <d v="2026-01-06T00:00:00"/>
    <x v="3"/>
    <x v="7"/>
    <s v="Webcam"/>
    <x v="0"/>
    <n v="7"/>
    <n v="48"/>
    <n v="336"/>
    <x v="0"/>
  </r>
  <r>
    <n v="1009"/>
    <d v="2026-01-07T00:00:00"/>
    <x v="0"/>
    <x v="0"/>
    <s v="Tablet"/>
    <x v="5"/>
    <n v="3"/>
    <n v="390"/>
    <n v="1170"/>
    <x v="0"/>
  </r>
  <r>
    <n v="1010"/>
    <d v="2026-01-07T00:00:00"/>
    <x v="1"/>
    <x v="1"/>
    <s v="Monitor"/>
    <x v="2"/>
    <n v="2"/>
    <n v="210"/>
    <n v="420"/>
    <x v="0"/>
  </r>
  <r>
    <n v="1011"/>
    <d v="2026-01-08T00:00:00"/>
    <x v="2"/>
    <x v="6"/>
    <s v="Laptop Stand"/>
    <x v="0"/>
    <n v="5"/>
    <n v="42"/>
    <n v="210"/>
    <x v="0"/>
  </r>
  <r>
    <n v="1012"/>
    <d v="2026-01-08T00:00:00"/>
    <x v="3"/>
    <x v="3"/>
    <s v="Printer"/>
    <x v="3"/>
    <n v="2"/>
    <n v="295"/>
    <n v="590"/>
    <x v="0"/>
  </r>
  <r>
    <n v="1013"/>
    <d v="2026-01-09T00:00:00"/>
    <x v="0"/>
    <x v="4"/>
    <s v="Desk"/>
    <x v="4"/>
    <n v="1"/>
    <n v="320"/>
    <n v="320"/>
    <x v="0"/>
  </r>
  <r>
    <n v="1014"/>
    <d v="2026-01-09T00:00:00"/>
    <x v="1"/>
    <x v="1"/>
    <s v="Keyboard"/>
    <x v="0"/>
    <n v="8"/>
    <n v="30"/>
    <n v="240"/>
    <x v="0"/>
  </r>
  <r>
    <n v="1015"/>
    <d v="2026-01-10T00:00:00"/>
    <x v="2"/>
    <x v="6"/>
    <s v="Wireless Mouse"/>
    <x v="0"/>
    <n v="6"/>
    <n v="20"/>
    <n v="120"/>
    <x v="0"/>
  </r>
  <r>
    <n v="1016"/>
    <d v="2026-01-10T00:00:00"/>
    <x v="3"/>
    <x v="7"/>
    <s v="Laptop"/>
    <x v="1"/>
    <n v="1"/>
    <n v="920"/>
    <n v="920"/>
    <x v="0"/>
  </r>
  <r>
    <n v="1017"/>
    <d v="2026-02-01T00:00:00"/>
    <x v="0"/>
    <x v="4"/>
    <s v="Monitor"/>
    <x v="2"/>
    <n v="4"/>
    <n v="215"/>
    <n v="860"/>
    <x v="1"/>
  </r>
  <r>
    <n v="1018"/>
    <d v="2026-02-01T00:00:00"/>
    <x v="1"/>
    <x v="5"/>
    <s v="Tablet"/>
    <x v="5"/>
    <n v="2"/>
    <n v="410"/>
    <n v="820"/>
    <x v="1"/>
  </r>
  <r>
    <n v="1019"/>
    <d v="2026-02-02T00:00:00"/>
    <x v="2"/>
    <x v="2"/>
    <s v="Printer"/>
    <x v="3"/>
    <n v="1"/>
    <n v="275"/>
    <n v="275"/>
    <x v="1"/>
  </r>
  <r>
    <n v="1020"/>
    <d v="2026-02-02T00:00:00"/>
    <x v="3"/>
    <x v="3"/>
    <s v="USB Hub"/>
    <x v="0"/>
    <n v="9"/>
    <n v="22"/>
    <n v="198"/>
    <x v="1"/>
  </r>
  <r>
    <n v="1021"/>
    <d v="2026-02-03T00:00:00"/>
    <x v="0"/>
    <x v="0"/>
    <s v="Desk Chair"/>
    <x v="4"/>
    <n v="2"/>
    <n v="155"/>
    <n v="310"/>
    <x v="1"/>
  </r>
  <r>
    <n v="1022"/>
    <d v="2026-02-03T00:00:00"/>
    <x v="1"/>
    <x v="5"/>
    <s v="Webcam"/>
    <x v="0"/>
    <n v="5"/>
    <n v="52"/>
    <n v="260"/>
    <x v="1"/>
  </r>
  <r>
    <n v="1023"/>
    <d v="2026-02-04T00:00:00"/>
    <x v="2"/>
    <x v="6"/>
    <s v="Laptop"/>
    <x v="1"/>
    <n v="2"/>
    <n v="880"/>
    <n v="1760"/>
    <x v="1"/>
  </r>
  <r>
    <n v="1024"/>
    <d v="2026-02-04T00:00:00"/>
    <x v="3"/>
    <x v="7"/>
    <s v="Keyboard"/>
    <x v="0"/>
    <n v="7"/>
    <n v="29"/>
    <n v="203"/>
    <x v="1"/>
  </r>
  <r>
    <n v="1025"/>
    <d v="2026-02-05T00:00:00"/>
    <x v="0"/>
    <x v="0"/>
    <s v="Monitor"/>
    <x v="2"/>
    <n v="3"/>
    <n v="225"/>
    <n v="675"/>
    <x v="1"/>
  </r>
  <r>
    <n v="1026"/>
    <d v="2026-02-05T00:00:00"/>
    <x v="1"/>
    <x v="1"/>
    <s v="Desk"/>
    <x v="4"/>
    <n v="1"/>
    <n v="340"/>
    <n v="340"/>
    <x v="1"/>
  </r>
  <r>
    <n v="1027"/>
    <d v="2026-02-06T00:00:00"/>
    <x v="2"/>
    <x v="6"/>
    <s v="Tablet"/>
    <x v="5"/>
    <n v="4"/>
    <n v="395"/>
    <n v="1580"/>
    <x v="1"/>
  </r>
  <r>
    <n v="1028"/>
    <d v="2026-02-06T00:00:00"/>
    <x v="3"/>
    <x v="3"/>
    <s v="Wireless Mouse"/>
    <x v="0"/>
    <n v="10"/>
    <n v="19"/>
    <n v="190"/>
    <x v="1"/>
  </r>
  <r>
    <n v="1029"/>
    <d v="2026-02-07T00:00:00"/>
    <x v="0"/>
    <x v="4"/>
    <s v="Printer"/>
    <x v="3"/>
    <n v="2"/>
    <n v="285"/>
    <n v="570"/>
    <x v="1"/>
  </r>
  <r>
    <n v="1030"/>
    <d v="2026-02-07T00:00:00"/>
    <x v="1"/>
    <x v="1"/>
    <s v="Laptop Stand"/>
    <x v="0"/>
    <n v="6"/>
    <n v="40"/>
    <n v="240"/>
    <x v="1"/>
  </r>
  <r>
    <n v="1031"/>
    <d v="2026-02-08T00:00:00"/>
    <x v="2"/>
    <x v="2"/>
    <s v="Desk Chair"/>
    <x v="4"/>
    <n v="3"/>
    <n v="150"/>
    <n v="450"/>
    <x v="1"/>
  </r>
  <r>
    <n v="1032"/>
    <d v="2026-02-08T00:00:00"/>
    <x v="3"/>
    <x v="3"/>
    <s v="Webcam"/>
    <x v="0"/>
    <n v="4"/>
    <n v="50"/>
    <n v="200"/>
    <x v="1"/>
  </r>
  <r>
    <n v="1033"/>
    <d v="2026-03-01T00:00:00"/>
    <x v="0"/>
    <x v="0"/>
    <s v="Laptop"/>
    <x v="1"/>
    <n v="1"/>
    <n v="940"/>
    <n v="940"/>
    <x v="2"/>
  </r>
  <r>
    <n v="1034"/>
    <d v="2026-03-01T00:00:00"/>
    <x v="1"/>
    <x v="5"/>
    <s v="Monitor"/>
    <x v="2"/>
    <n v="5"/>
    <n v="205"/>
    <n v="1025"/>
    <x v="2"/>
  </r>
  <r>
    <n v="1035"/>
    <d v="2026-03-02T00:00:00"/>
    <x v="2"/>
    <x v="6"/>
    <s v="Keyboard"/>
    <x v="0"/>
    <n v="6"/>
    <n v="31"/>
    <n v="186"/>
    <x v="2"/>
  </r>
  <r>
    <n v="1036"/>
    <d v="2026-03-02T00:00:00"/>
    <x v="3"/>
    <x v="7"/>
    <s v="Printer"/>
    <x v="3"/>
    <n v="1"/>
    <n v="300"/>
    <n v="300"/>
    <x v="2"/>
  </r>
  <r>
    <n v="1037"/>
    <d v="2026-03-03T00:00:00"/>
    <x v="0"/>
    <x v="4"/>
    <s v="USB Hub"/>
    <x v="0"/>
    <n v="8"/>
    <n v="24"/>
    <n v="192"/>
    <x v="2"/>
  </r>
  <r>
    <n v="1038"/>
    <d v="2026-03-03T00:00:00"/>
    <x v="1"/>
    <x v="1"/>
    <s v="Desk"/>
    <x v="4"/>
    <n v="2"/>
    <n v="330"/>
    <n v="660"/>
    <x v="2"/>
  </r>
  <r>
    <n v="1039"/>
    <d v="2026-03-04T00:00:00"/>
    <x v="2"/>
    <x v="2"/>
    <s v="Tablet"/>
    <x v="5"/>
    <n v="3"/>
    <n v="405"/>
    <n v="1215"/>
    <x v="2"/>
  </r>
  <r>
    <n v="1040"/>
    <d v="2026-03-04T00:00:00"/>
    <x v="3"/>
    <x v="7"/>
    <s v="Wireless Mouse"/>
    <x v="0"/>
    <n v="9"/>
    <n v="21"/>
    <n v="189"/>
    <x v="2"/>
  </r>
  <r>
    <n v="1041"/>
    <d v="2026-03-05T00:00:00"/>
    <x v="0"/>
    <x v="0"/>
    <s v="Laptop Stand"/>
    <x v="0"/>
    <n v="4"/>
    <n v="43"/>
    <n v="172"/>
    <x v="2"/>
  </r>
  <r>
    <n v="1042"/>
    <d v="2026-03-05T00:00:00"/>
    <x v="1"/>
    <x v="1"/>
    <s v="Webcam"/>
    <x v="0"/>
    <n v="6"/>
    <n v="49"/>
    <n v="294"/>
    <x v="2"/>
  </r>
  <r>
    <n v="1043"/>
    <d v="2026-03-06T00:00:00"/>
    <x v="2"/>
    <x v="2"/>
    <s v="Laptop"/>
    <x v="1"/>
    <n v="2"/>
    <n v="870"/>
    <n v="1740"/>
    <x v="2"/>
  </r>
  <r>
    <n v="1044"/>
    <d v="2026-03-06T00:00:00"/>
    <x v="3"/>
    <x v="7"/>
    <s v="Monitor"/>
    <x v="2"/>
    <n v="3"/>
    <n v="218"/>
    <n v="654"/>
    <x v="2"/>
  </r>
  <r>
    <n v="1045"/>
    <d v="2026-03-07T00:00:00"/>
    <x v="0"/>
    <x v="4"/>
    <s v="Desk Chair"/>
    <x v="4"/>
    <n v="1"/>
    <n v="160"/>
    <n v="160"/>
    <x v="2"/>
  </r>
  <r>
    <n v="1046"/>
    <d v="2026-03-07T00:00:00"/>
    <x v="1"/>
    <x v="5"/>
    <s v="Printer"/>
    <x v="3"/>
    <n v="2"/>
    <n v="290"/>
    <n v="580"/>
    <x v="2"/>
  </r>
  <r>
    <n v="1047"/>
    <d v="2026-03-08T00:00:00"/>
    <x v="2"/>
    <x v="2"/>
    <s v="Keyboard"/>
    <x v="0"/>
    <n v="5"/>
    <n v="33"/>
    <n v="165"/>
    <x v="2"/>
  </r>
  <r>
    <n v="1048"/>
    <d v="2026-03-08T00:00:00"/>
    <x v="3"/>
    <x v="3"/>
    <s v="Tablet"/>
    <x v="5"/>
    <n v="2"/>
    <n v="400"/>
    <n v="800"/>
    <x v="2"/>
  </r>
  <r>
    <n v="1049"/>
    <d v="2026-03-09T00:00:00"/>
    <x v="0"/>
    <x v="7"/>
    <s v="Wireless Mouse"/>
    <x v="0"/>
    <n v="7"/>
    <n v="20"/>
    <n v="140"/>
    <x v="2"/>
  </r>
  <r>
    <n v="1050"/>
    <d v="2026-03-09T00:00:00"/>
    <x v="1"/>
    <x v="1"/>
    <s v="Desk"/>
    <x v="4"/>
    <n v="1"/>
    <n v="350"/>
    <n v="350"/>
    <x v="2"/>
  </r>
  <r>
    <n v="1051"/>
    <d v="2026-03-10T00:00:00"/>
    <x v="2"/>
    <x v="6"/>
    <s v="Webcam"/>
    <x v="0"/>
    <n v="5"/>
    <n v="51"/>
    <n v="255"/>
    <x v="2"/>
  </r>
  <r>
    <n v="1052"/>
    <d v="2026-03-10T00:00:00"/>
    <x v="3"/>
    <x v="3"/>
    <s v="Laptop Stand"/>
    <x v="0"/>
    <n v="3"/>
    <n v="44"/>
    <n v="132"/>
    <x v="2"/>
  </r>
  <r>
    <n v="1053"/>
    <d v="2026-03-11T00:00:00"/>
    <x v="0"/>
    <x v="7"/>
    <s v="Monitor"/>
    <x v="2"/>
    <n v="2"/>
    <n v="230"/>
    <n v="460"/>
    <x v="2"/>
  </r>
  <r>
    <n v="1054"/>
    <d v="2026-03-11T00:00:00"/>
    <x v="1"/>
    <x v="5"/>
    <s v="Laptop"/>
    <x v="1"/>
    <n v="1"/>
    <n v="910"/>
    <n v="910"/>
    <x v="2"/>
  </r>
  <r>
    <n v="1055"/>
    <d v="2026-03-12T00:00:00"/>
    <x v="2"/>
    <x v="2"/>
    <s v="Printer"/>
    <x v="3"/>
    <n v="1"/>
    <n v="305"/>
    <n v="305"/>
    <x v="2"/>
  </r>
  <r>
    <n v="1056"/>
    <d v="2026-03-12T00:00:00"/>
    <x v="3"/>
    <x v="3"/>
    <s v="Keyboard"/>
    <x v="0"/>
    <n v="6"/>
    <n v="28"/>
    <n v="168"/>
    <x v="2"/>
  </r>
  <r>
    <n v="1057"/>
    <d v="2026-03-13T00:00:00"/>
    <x v="0"/>
    <x v="0"/>
    <s v="Tablet"/>
    <x v="5"/>
    <n v="4"/>
    <n v="385"/>
    <n v="1540"/>
    <x v="2"/>
  </r>
  <r>
    <n v="1058"/>
    <d v="2026-03-13T00:00:00"/>
    <x v="1"/>
    <x v="1"/>
    <s v="USB Hub"/>
    <x v="0"/>
    <n v="7"/>
    <n v="23"/>
    <n v="161"/>
    <x v="2"/>
  </r>
  <r>
    <n v="1059"/>
    <d v="2026-03-14T00:00:00"/>
    <x v="2"/>
    <x v="6"/>
    <s v="Desk Chair"/>
    <x v="4"/>
    <n v="2"/>
    <n v="148"/>
    <n v="296"/>
    <x v="2"/>
  </r>
  <r>
    <n v="1060"/>
    <d v="2026-03-14T00:00:00"/>
    <x v="3"/>
    <x v="7"/>
    <s v="Wireless Mouse"/>
    <x v="0"/>
    <n v="8"/>
    <n v="19"/>
    <n v="15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BFD86B-433F-494A-B013-210B9B18797E}" name="SalesByRegionMonth"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3" firstHeaderRow="1" firstDataRow="2" firstDataCol="1"/>
  <pivotFields count="10">
    <pivotField showAll="0"/>
    <pivotField numFmtId="14" showAll="0"/>
    <pivotField showAll="0" sortType="descending">
      <items count="5">
        <item x="0"/>
        <item x="3"/>
        <item x="2"/>
        <item x="1"/>
        <item t="default"/>
      </items>
      <autoSortScope>
        <pivotArea dataOnly="0" outline="0" fieldPosition="0">
          <references count="1">
            <reference field="4294967294" count="1" selected="0">
              <x v="0"/>
            </reference>
          </references>
        </pivotArea>
      </autoSortScope>
    </pivotField>
    <pivotField axis="axisRow" showAll="0">
      <items count="9">
        <item x="2"/>
        <item x="5"/>
        <item x="1"/>
        <item x="3"/>
        <item x="0"/>
        <item x="4"/>
        <item x="6"/>
        <item x="7"/>
        <item t="default"/>
      </items>
    </pivotField>
    <pivotField showAll="0"/>
    <pivotField showAll="0">
      <items count="7">
        <item x="0"/>
        <item x="1"/>
        <item x="2"/>
        <item x="4"/>
        <item x="5"/>
        <item x="3"/>
        <item t="default"/>
      </items>
    </pivotField>
    <pivotField showAll="0"/>
    <pivotField showAll="0"/>
    <pivotField dataField="1" showAll="0"/>
    <pivotField axis="axisCol" showAll="0">
      <items count="4">
        <item x="0"/>
        <item x="1"/>
        <item x="2"/>
        <item t="default"/>
      </items>
    </pivotField>
  </pivotFields>
  <rowFields count="1">
    <field x="3"/>
  </rowFields>
  <rowItems count="9">
    <i>
      <x/>
    </i>
    <i>
      <x v="1"/>
    </i>
    <i>
      <x v="2"/>
    </i>
    <i>
      <x v="3"/>
    </i>
    <i>
      <x v="4"/>
    </i>
    <i>
      <x v="5"/>
    </i>
    <i>
      <x v="6"/>
    </i>
    <i>
      <x v="7"/>
    </i>
    <i t="grand">
      <x/>
    </i>
  </rowItems>
  <colFields count="1">
    <field x="9"/>
  </colFields>
  <colItems count="4">
    <i>
      <x/>
    </i>
    <i>
      <x v="1"/>
    </i>
    <i>
      <x v="2"/>
    </i>
    <i t="grand">
      <x/>
    </i>
  </colItems>
  <dataFields count="1">
    <dataField name="Sum of Total Sale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8AD3AE3A-C4E5-4140-8EC8-226DD3ED3AE5}" sourceName="Category">
  <pivotTables>
    <pivotTable tabId="5" name="SalesByRegionMonth"/>
  </pivotTables>
  <data>
    <tabular pivotCacheId="420567240">
      <items count="6">
        <i x="0" s="1"/>
        <i x="1" s="1"/>
        <i x="2" s="1"/>
        <i x="4" s="1"/>
        <i x="5"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28004426-CDFB-4BFE-A752-0C553A3A25C1}" cache="Slicer_Category" caption="Category"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783F73-D14E-4DB2-8A80-59568FF47663}" name="SalesData" displayName="SalesData" ref="A1:J61" totalsRowShown="0">
  <autoFilter ref="A1:J61" xr:uid="{AA783F73-D14E-4DB2-8A80-59568FF47663}"/>
  <tableColumns count="10">
    <tableColumn id="1" xr3:uid="{0B5A0398-9AEE-4CE2-BA67-0D9255052AFC}" name="Order ID"/>
    <tableColumn id="2" xr3:uid="{0960BA61-549C-4A2F-B299-67201369A124}" name="Order Date" dataDxfId="1"/>
    <tableColumn id="3" xr3:uid="{46C9CC35-AC6E-4A07-A203-EE0653026D83}" name="Region"/>
    <tableColumn id="4" xr3:uid="{656AD2A2-0BBE-42CF-B1A1-24D1559C99B3}" name="Sales Rep"/>
    <tableColumn id="5" xr3:uid="{26DD1938-159D-480A-BA61-57B36BDF8109}" name="Product"/>
    <tableColumn id="6" xr3:uid="{3303982C-1D97-43B0-BBE0-1259D40B0409}" name="Category"/>
    <tableColumn id="7" xr3:uid="{1252C6BC-2900-439C-B6B2-90A9FC7EC857}" name="Units"/>
    <tableColumn id="8" xr3:uid="{F05BC1B9-F8CD-40FA-A6D7-5740BD107C70}" name="Unit Price"/>
    <tableColumn id="9" xr3:uid="{C9DFF940-BA4A-4CC3-947E-7BCAEE234EED}" name="Total Sales"/>
    <tableColumn id="10" xr3:uid="{EADD2F85-B183-44E7-90C0-F7E3BF7120E1}" name="Month">
      <calculatedColumnFormula>TEXT(B2,"mmmm")</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D209-05EE-4BDE-8185-ED490C9B9A9C}">
  <dimension ref="A1:J61"/>
  <sheetViews>
    <sheetView tabSelected="1" workbookViewId="0">
      <selection activeCell="A2" sqref="A2"/>
    </sheetView>
  </sheetViews>
  <sheetFormatPr defaultRowHeight="15" x14ac:dyDescent="0.25"/>
  <cols>
    <col min="1" max="1" width="10.7109375" customWidth="1"/>
    <col min="2" max="2" width="13" customWidth="1"/>
    <col min="3" max="3" width="9.42578125" customWidth="1"/>
    <col min="4" max="4" width="12" customWidth="1"/>
    <col min="5" max="5" width="15" bestFit="1" customWidth="1"/>
    <col min="6" max="6" width="16.140625" bestFit="1" customWidth="1"/>
    <col min="7" max="7" width="7.85546875" customWidth="1"/>
    <col min="8" max="8" width="11.85546875" customWidth="1"/>
    <col min="9" max="9" width="12.85546875" customWidth="1"/>
  </cols>
  <sheetData>
    <row r="1" spans="1:10" x14ac:dyDescent="0.25">
      <c r="A1" t="s">
        <v>9</v>
      </c>
      <c r="B1" t="s">
        <v>8</v>
      </c>
      <c r="C1" t="s">
        <v>10</v>
      </c>
      <c r="D1" t="s">
        <v>5</v>
      </c>
      <c r="E1" t="s">
        <v>7</v>
      </c>
      <c r="F1" t="s">
        <v>11</v>
      </c>
      <c r="G1" t="s">
        <v>12</v>
      </c>
      <c r="H1" t="s">
        <v>6</v>
      </c>
      <c r="I1" t="s">
        <v>13</v>
      </c>
      <c r="J1" t="s">
        <v>64</v>
      </c>
    </row>
    <row r="2" spans="1:10" x14ac:dyDescent="0.25">
      <c r="A2">
        <v>1001</v>
      </c>
      <c r="B2" s="1">
        <v>46025</v>
      </c>
      <c r="C2" t="s">
        <v>14</v>
      </c>
      <c r="D2" t="s">
        <v>15</v>
      </c>
      <c r="E2" t="s">
        <v>3</v>
      </c>
      <c r="F2" t="s">
        <v>16</v>
      </c>
      <c r="G2">
        <v>5</v>
      </c>
      <c r="H2">
        <v>18</v>
      </c>
      <c r="I2">
        <v>90</v>
      </c>
      <c r="J2" t="str">
        <f t="shared" ref="J2:J33" si="0">TEXT(B2,"mmmm")</f>
        <v>January</v>
      </c>
    </row>
    <row r="3" spans="1:10" x14ac:dyDescent="0.25">
      <c r="A3">
        <v>1002</v>
      </c>
      <c r="B3" s="1">
        <v>46025</v>
      </c>
      <c r="C3" t="s">
        <v>17</v>
      </c>
      <c r="D3" t="s">
        <v>18</v>
      </c>
      <c r="E3" t="s">
        <v>19</v>
      </c>
      <c r="F3" t="s">
        <v>20</v>
      </c>
      <c r="G3">
        <v>2</v>
      </c>
      <c r="H3">
        <v>850</v>
      </c>
      <c r="I3">
        <v>1700</v>
      </c>
      <c r="J3" t="str">
        <f t="shared" si="0"/>
        <v>January</v>
      </c>
    </row>
    <row r="4" spans="1:10" x14ac:dyDescent="0.25">
      <c r="A4">
        <v>1003</v>
      </c>
      <c r="B4" s="1">
        <v>46026</v>
      </c>
      <c r="C4" t="s">
        <v>21</v>
      </c>
      <c r="D4" t="s">
        <v>22</v>
      </c>
      <c r="E4" t="s">
        <v>2</v>
      </c>
      <c r="F4" t="s">
        <v>16</v>
      </c>
      <c r="G4">
        <v>4</v>
      </c>
      <c r="H4">
        <v>32</v>
      </c>
      <c r="I4">
        <v>128</v>
      </c>
      <c r="J4" t="str">
        <f t="shared" si="0"/>
        <v>January</v>
      </c>
    </row>
    <row r="5" spans="1:10" x14ac:dyDescent="0.25">
      <c r="A5">
        <v>1004</v>
      </c>
      <c r="B5" s="1">
        <v>46026</v>
      </c>
      <c r="C5" t="s">
        <v>23</v>
      </c>
      <c r="D5" t="s">
        <v>24</v>
      </c>
      <c r="E5" t="s">
        <v>1</v>
      </c>
      <c r="F5" t="s">
        <v>25</v>
      </c>
      <c r="G5">
        <v>3</v>
      </c>
      <c r="H5">
        <v>220</v>
      </c>
      <c r="I5">
        <v>660</v>
      </c>
      <c r="J5" t="str">
        <f t="shared" si="0"/>
        <v>January</v>
      </c>
    </row>
    <row r="6" spans="1:10" x14ac:dyDescent="0.25">
      <c r="A6">
        <v>1005</v>
      </c>
      <c r="B6" s="1">
        <v>46027</v>
      </c>
      <c r="C6" t="s">
        <v>14</v>
      </c>
      <c r="D6" t="s">
        <v>26</v>
      </c>
      <c r="E6" t="s">
        <v>27</v>
      </c>
      <c r="F6" t="s">
        <v>28</v>
      </c>
      <c r="G6">
        <v>1</v>
      </c>
      <c r="H6">
        <v>280</v>
      </c>
      <c r="I6">
        <v>280</v>
      </c>
      <c r="J6" t="str">
        <f t="shared" si="0"/>
        <v>January</v>
      </c>
    </row>
    <row r="7" spans="1:10" x14ac:dyDescent="0.25">
      <c r="A7">
        <v>1006</v>
      </c>
      <c r="B7" s="1">
        <v>46027</v>
      </c>
      <c r="C7" t="s">
        <v>17</v>
      </c>
      <c r="D7" t="s">
        <v>29</v>
      </c>
      <c r="E7" t="s">
        <v>30</v>
      </c>
      <c r="F7" t="s">
        <v>16</v>
      </c>
      <c r="G7">
        <v>6</v>
      </c>
      <c r="H7">
        <v>25</v>
      </c>
      <c r="I7">
        <v>150</v>
      </c>
      <c r="J7" t="str">
        <f t="shared" si="0"/>
        <v>January</v>
      </c>
    </row>
    <row r="8" spans="1:10" x14ac:dyDescent="0.25">
      <c r="A8">
        <v>1007</v>
      </c>
      <c r="B8" s="1">
        <v>46028</v>
      </c>
      <c r="C8" t="s">
        <v>21</v>
      </c>
      <c r="D8" t="s">
        <v>31</v>
      </c>
      <c r="E8" t="s">
        <v>32</v>
      </c>
      <c r="F8" t="s">
        <v>33</v>
      </c>
      <c r="G8">
        <v>2</v>
      </c>
      <c r="H8">
        <v>145</v>
      </c>
      <c r="I8">
        <v>290</v>
      </c>
      <c r="J8" t="str">
        <f t="shared" si="0"/>
        <v>January</v>
      </c>
    </row>
    <row r="9" spans="1:10" x14ac:dyDescent="0.25">
      <c r="A9">
        <v>1008</v>
      </c>
      <c r="B9" s="1">
        <v>46028</v>
      </c>
      <c r="C9" t="s">
        <v>23</v>
      </c>
      <c r="D9" t="s">
        <v>34</v>
      </c>
      <c r="E9" t="s">
        <v>4</v>
      </c>
      <c r="F9" t="s">
        <v>16</v>
      </c>
      <c r="G9">
        <v>7</v>
      </c>
      <c r="H9">
        <v>48</v>
      </c>
      <c r="I9">
        <v>336</v>
      </c>
      <c r="J9" t="str">
        <f t="shared" si="0"/>
        <v>January</v>
      </c>
    </row>
    <row r="10" spans="1:10" x14ac:dyDescent="0.25">
      <c r="A10">
        <v>1009</v>
      </c>
      <c r="B10" s="1">
        <v>46029</v>
      </c>
      <c r="C10" t="s">
        <v>14</v>
      </c>
      <c r="D10" t="s">
        <v>15</v>
      </c>
      <c r="E10" t="s">
        <v>35</v>
      </c>
      <c r="F10" t="s">
        <v>36</v>
      </c>
      <c r="G10">
        <v>3</v>
      </c>
      <c r="H10">
        <v>390</v>
      </c>
      <c r="I10">
        <v>1170</v>
      </c>
      <c r="J10" t="str">
        <f t="shared" si="0"/>
        <v>January</v>
      </c>
    </row>
    <row r="11" spans="1:10" x14ac:dyDescent="0.25">
      <c r="A11">
        <v>1010</v>
      </c>
      <c r="B11" s="1">
        <v>46029</v>
      </c>
      <c r="C11" t="s">
        <v>17</v>
      </c>
      <c r="D11" t="s">
        <v>18</v>
      </c>
      <c r="E11" t="s">
        <v>1</v>
      </c>
      <c r="F11" t="s">
        <v>25</v>
      </c>
      <c r="G11">
        <v>2</v>
      </c>
      <c r="H11">
        <v>210</v>
      </c>
      <c r="I11">
        <v>420</v>
      </c>
      <c r="J11" t="str">
        <f t="shared" si="0"/>
        <v>January</v>
      </c>
    </row>
    <row r="12" spans="1:10" x14ac:dyDescent="0.25">
      <c r="A12">
        <v>1011</v>
      </c>
      <c r="B12" s="1">
        <v>46030</v>
      </c>
      <c r="C12" t="s">
        <v>21</v>
      </c>
      <c r="D12" t="s">
        <v>31</v>
      </c>
      <c r="E12" t="s">
        <v>0</v>
      </c>
      <c r="F12" t="s">
        <v>16</v>
      </c>
      <c r="G12">
        <v>5</v>
      </c>
      <c r="H12">
        <v>42</v>
      </c>
      <c r="I12">
        <v>210</v>
      </c>
      <c r="J12" t="str">
        <f t="shared" si="0"/>
        <v>January</v>
      </c>
    </row>
    <row r="13" spans="1:10" x14ac:dyDescent="0.25">
      <c r="A13">
        <v>1012</v>
      </c>
      <c r="B13" s="1">
        <v>46030</v>
      </c>
      <c r="C13" t="s">
        <v>23</v>
      </c>
      <c r="D13" t="s">
        <v>24</v>
      </c>
      <c r="E13" t="s">
        <v>27</v>
      </c>
      <c r="F13" t="s">
        <v>28</v>
      </c>
      <c r="G13">
        <v>2</v>
      </c>
      <c r="H13">
        <v>295</v>
      </c>
      <c r="I13">
        <v>590</v>
      </c>
      <c r="J13" t="str">
        <f t="shared" si="0"/>
        <v>January</v>
      </c>
    </row>
    <row r="14" spans="1:10" x14ac:dyDescent="0.25">
      <c r="A14">
        <v>1013</v>
      </c>
      <c r="B14" s="1">
        <v>46031</v>
      </c>
      <c r="C14" t="s">
        <v>14</v>
      </c>
      <c r="D14" t="s">
        <v>26</v>
      </c>
      <c r="E14" t="s">
        <v>37</v>
      </c>
      <c r="F14" t="s">
        <v>33</v>
      </c>
      <c r="G14">
        <v>1</v>
      </c>
      <c r="H14">
        <v>320</v>
      </c>
      <c r="I14">
        <v>320</v>
      </c>
      <c r="J14" t="str">
        <f t="shared" si="0"/>
        <v>January</v>
      </c>
    </row>
    <row r="15" spans="1:10" x14ac:dyDescent="0.25">
      <c r="A15">
        <v>1014</v>
      </c>
      <c r="B15" s="1">
        <v>46031</v>
      </c>
      <c r="C15" t="s">
        <v>17</v>
      </c>
      <c r="D15" t="s">
        <v>18</v>
      </c>
      <c r="E15" t="s">
        <v>2</v>
      </c>
      <c r="F15" t="s">
        <v>16</v>
      </c>
      <c r="G15">
        <v>8</v>
      </c>
      <c r="H15">
        <v>30</v>
      </c>
      <c r="I15">
        <v>240</v>
      </c>
      <c r="J15" t="str">
        <f t="shared" si="0"/>
        <v>January</v>
      </c>
    </row>
    <row r="16" spans="1:10" x14ac:dyDescent="0.25">
      <c r="A16">
        <v>1015</v>
      </c>
      <c r="B16" s="1">
        <v>46032</v>
      </c>
      <c r="C16" t="s">
        <v>21</v>
      </c>
      <c r="D16" t="s">
        <v>31</v>
      </c>
      <c r="E16" t="s">
        <v>3</v>
      </c>
      <c r="F16" t="s">
        <v>16</v>
      </c>
      <c r="G16">
        <v>6</v>
      </c>
      <c r="H16">
        <v>20</v>
      </c>
      <c r="I16">
        <v>120</v>
      </c>
      <c r="J16" t="str">
        <f t="shared" si="0"/>
        <v>January</v>
      </c>
    </row>
    <row r="17" spans="1:10" x14ac:dyDescent="0.25">
      <c r="A17">
        <v>1016</v>
      </c>
      <c r="B17" s="1">
        <v>46032</v>
      </c>
      <c r="C17" t="s">
        <v>23</v>
      </c>
      <c r="D17" t="s">
        <v>34</v>
      </c>
      <c r="E17" t="s">
        <v>19</v>
      </c>
      <c r="F17" t="s">
        <v>20</v>
      </c>
      <c r="G17">
        <v>1</v>
      </c>
      <c r="H17">
        <v>920</v>
      </c>
      <c r="I17">
        <v>920</v>
      </c>
      <c r="J17" t="str">
        <f t="shared" si="0"/>
        <v>January</v>
      </c>
    </row>
    <row r="18" spans="1:10" x14ac:dyDescent="0.25">
      <c r="A18">
        <v>1017</v>
      </c>
      <c r="B18" s="1">
        <v>46054</v>
      </c>
      <c r="C18" t="s">
        <v>14</v>
      </c>
      <c r="D18" t="s">
        <v>26</v>
      </c>
      <c r="E18" t="s">
        <v>1</v>
      </c>
      <c r="F18" t="s">
        <v>25</v>
      </c>
      <c r="G18">
        <v>4</v>
      </c>
      <c r="H18">
        <v>215</v>
      </c>
      <c r="I18">
        <v>860</v>
      </c>
      <c r="J18" t="str">
        <f t="shared" si="0"/>
        <v>February</v>
      </c>
    </row>
    <row r="19" spans="1:10" x14ac:dyDescent="0.25">
      <c r="A19">
        <v>1018</v>
      </c>
      <c r="B19" s="1">
        <v>46054</v>
      </c>
      <c r="C19" t="s">
        <v>17</v>
      </c>
      <c r="D19" t="s">
        <v>29</v>
      </c>
      <c r="E19" t="s">
        <v>35</v>
      </c>
      <c r="F19" t="s">
        <v>36</v>
      </c>
      <c r="G19">
        <v>2</v>
      </c>
      <c r="H19">
        <v>410</v>
      </c>
      <c r="I19">
        <v>820</v>
      </c>
      <c r="J19" t="str">
        <f t="shared" si="0"/>
        <v>February</v>
      </c>
    </row>
    <row r="20" spans="1:10" x14ac:dyDescent="0.25">
      <c r="A20">
        <v>1019</v>
      </c>
      <c r="B20" s="1">
        <v>46055</v>
      </c>
      <c r="C20" t="s">
        <v>21</v>
      </c>
      <c r="D20" t="s">
        <v>22</v>
      </c>
      <c r="E20" t="s">
        <v>27</v>
      </c>
      <c r="F20" t="s">
        <v>28</v>
      </c>
      <c r="G20">
        <v>1</v>
      </c>
      <c r="H20">
        <v>275</v>
      </c>
      <c r="I20">
        <v>275</v>
      </c>
      <c r="J20" t="str">
        <f t="shared" si="0"/>
        <v>February</v>
      </c>
    </row>
    <row r="21" spans="1:10" x14ac:dyDescent="0.25">
      <c r="A21">
        <v>1020</v>
      </c>
      <c r="B21" s="1">
        <v>46055</v>
      </c>
      <c r="C21" t="s">
        <v>23</v>
      </c>
      <c r="D21" t="s">
        <v>24</v>
      </c>
      <c r="E21" t="s">
        <v>30</v>
      </c>
      <c r="F21" t="s">
        <v>16</v>
      </c>
      <c r="G21">
        <v>9</v>
      </c>
      <c r="H21">
        <v>22</v>
      </c>
      <c r="I21">
        <v>198</v>
      </c>
      <c r="J21" t="str">
        <f t="shared" si="0"/>
        <v>February</v>
      </c>
    </row>
    <row r="22" spans="1:10" x14ac:dyDescent="0.25">
      <c r="A22">
        <v>1021</v>
      </c>
      <c r="B22" s="1">
        <v>46056</v>
      </c>
      <c r="C22" t="s">
        <v>14</v>
      </c>
      <c r="D22" t="s">
        <v>15</v>
      </c>
      <c r="E22" t="s">
        <v>32</v>
      </c>
      <c r="F22" t="s">
        <v>33</v>
      </c>
      <c r="G22">
        <v>2</v>
      </c>
      <c r="H22">
        <v>155</v>
      </c>
      <c r="I22">
        <v>310</v>
      </c>
      <c r="J22" t="str">
        <f t="shared" si="0"/>
        <v>February</v>
      </c>
    </row>
    <row r="23" spans="1:10" x14ac:dyDescent="0.25">
      <c r="A23">
        <v>1022</v>
      </c>
      <c r="B23" s="1">
        <v>46056</v>
      </c>
      <c r="C23" t="s">
        <v>17</v>
      </c>
      <c r="D23" t="s">
        <v>29</v>
      </c>
      <c r="E23" t="s">
        <v>4</v>
      </c>
      <c r="F23" t="s">
        <v>16</v>
      </c>
      <c r="G23">
        <v>5</v>
      </c>
      <c r="H23">
        <v>52</v>
      </c>
      <c r="I23">
        <v>260</v>
      </c>
      <c r="J23" t="str">
        <f t="shared" si="0"/>
        <v>February</v>
      </c>
    </row>
    <row r="24" spans="1:10" x14ac:dyDescent="0.25">
      <c r="A24">
        <v>1023</v>
      </c>
      <c r="B24" s="1">
        <v>46057</v>
      </c>
      <c r="C24" t="s">
        <v>21</v>
      </c>
      <c r="D24" t="s">
        <v>31</v>
      </c>
      <c r="E24" t="s">
        <v>19</v>
      </c>
      <c r="F24" t="s">
        <v>20</v>
      </c>
      <c r="G24">
        <v>2</v>
      </c>
      <c r="H24">
        <v>880</v>
      </c>
      <c r="I24">
        <v>1760</v>
      </c>
      <c r="J24" t="str">
        <f t="shared" si="0"/>
        <v>February</v>
      </c>
    </row>
    <row r="25" spans="1:10" x14ac:dyDescent="0.25">
      <c r="A25">
        <v>1024</v>
      </c>
      <c r="B25" s="1">
        <v>46057</v>
      </c>
      <c r="C25" t="s">
        <v>23</v>
      </c>
      <c r="D25" t="s">
        <v>34</v>
      </c>
      <c r="E25" t="s">
        <v>2</v>
      </c>
      <c r="F25" t="s">
        <v>16</v>
      </c>
      <c r="G25">
        <v>7</v>
      </c>
      <c r="H25">
        <v>29</v>
      </c>
      <c r="I25">
        <v>203</v>
      </c>
      <c r="J25" t="str">
        <f t="shared" si="0"/>
        <v>February</v>
      </c>
    </row>
    <row r="26" spans="1:10" x14ac:dyDescent="0.25">
      <c r="A26">
        <v>1025</v>
      </c>
      <c r="B26" s="1">
        <v>46058</v>
      </c>
      <c r="C26" t="s">
        <v>14</v>
      </c>
      <c r="D26" t="s">
        <v>15</v>
      </c>
      <c r="E26" t="s">
        <v>1</v>
      </c>
      <c r="F26" t="s">
        <v>25</v>
      </c>
      <c r="G26">
        <v>3</v>
      </c>
      <c r="H26">
        <v>225</v>
      </c>
      <c r="I26">
        <v>675</v>
      </c>
      <c r="J26" t="str">
        <f t="shared" si="0"/>
        <v>February</v>
      </c>
    </row>
    <row r="27" spans="1:10" x14ac:dyDescent="0.25">
      <c r="A27">
        <v>1026</v>
      </c>
      <c r="B27" s="1">
        <v>46058</v>
      </c>
      <c r="C27" t="s">
        <v>17</v>
      </c>
      <c r="D27" t="s">
        <v>18</v>
      </c>
      <c r="E27" t="s">
        <v>37</v>
      </c>
      <c r="F27" t="s">
        <v>33</v>
      </c>
      <c r="G27">
        <v>1</v>
      </c>
      <c r="H27">
        <v>340</v>
      </c>
      <c r="I27">
        <v>340</v>
      </c>
      <c r="J27" t="str">
        <f t="shared" si="0"/>
        <v>February</v>
      </c>
    </row>
    <row r="28" spans="1:10" x14ac:dyDescent="0.25">
      <c r="A28">
        <v>1027</v>
      </c>
      <c r="B28" s="1">
        <v>46059</v>
      </c>
      <c r="C28" t="s">
        <v>21</v>
      </c>
      <c r="D28" t="s">
        <v>31</v>
      </c>
      <c r="E28" t="s">
        <v>35</v>
      </c>
      <c r="F28" t="s">
        <v>36</v>
      </c>
      <c r="G28">
        <v>4</v>
      </c>
      <c r="H28">
        <v>395</v>
      </c>
      <c r="I28">
        <v>1580</v>
      </c>
      <c r="J28" t="str">
        <f t="shared" si="0"/>
        <v>February</v>
      </c>
    </row>
    <row r="29" spans="1:10" x14ac:dyDescent="0.25">
      <c r="A29">
        <v>1028</v>
      </c>
      <c r="B29" s="1">
        <v>46059</v>
      </c>
      <c r="C29" t="s">
        <v>23</v>
      </c>
      <c r="D29" t="s">
        <v>24</v>
      </c>
      <c r="E29" t="s">
        <v>3</v>
      </c>
      <c r="F29" t="s">
        <v>16</v>
      </c>
      <c r="G29">
        <v>10</v>
      </c>
      <c r="H29">
        <v>19</v>
      </c>
      <c r="I29">
        <v>190</v>
      </c>
      <c r="J29" t="str">
        <f t="shared" si="0"/>
        <v>February</v>
      </c>
    </row>
    <row r="30" spans="1:10" x14ac:dyDescent="0.25">
      <c r="A30">
        <v>1029</v>
      </c>
      <c r="B30" s="1">
        <v>46060</v>
      </c>
      <c r="C30" t="s">
        <v>14</v>
      </c>
      <c r="D30" t="s">
        <v>26</v>
      </c>
      <c r="E30" t="s">
        <v>27</v>
      </c>
      <c r="F30" t="s">
        <v>28</v>
      </c>
      <c r="G30">
        <v>2</v>
      </c>
      <c r="H30">
        <v>285</v>
      </c>
      <c r="I30">
        <v>570</v>
      </c>
      <c r="J30" t="str">
        <f t="shared" si="0"/>
        <v>February</v>
      </c>
    </row>
    <row r="31" spans="1:10" x14ac:dyDescent="0.25">
      <c r="A31">
        <v>1030</v>
      </c>
      <c r="B31" s="1">
        <v>46060</v>
      </c>
      <c r="C31" t="s">
        <v>17</v>
      </c>
      <c r="D31" t="s">
        <v>18</v>
      </c>
      <c r="E31" t="s">
        <v>0</v>
      </c>
      <c r="F31" t="s">
        <v>16</v>
      </c>
      <c r="G31">
        <v>6</v>
      </c>
      <c r="H31">
        <v>40</v>
      </c>
      <c r="I31">
        <v>240</v>
      </c>
      <c r="J31" t="str">
        <f t="shared" si="0"/>
        <v>February</v>
      </c>
    </row>
    <row r="32" spans="1:10" x14ac:dyDescent="0.25">
      <c r="A32">
        <v>1031</v>
      </c>
      <c r="B32" s="1">
        <v>46061</v>
      </c>
      <c r="C32" t="s">
        <v>21</v>
      </c>
      <c r="D32" t="s">
        <v>22</v>
      </c>
      <c r="E32" t="s">
        <v>32</v>
      </c>
      <c r="F32" t="s">
        <v>33</v>
      </c>
      <c r="G32">
        <v>3</v>
      </c>
      <c r="H32">
        <v>150</v>
      </c>
      <c r="I32">
        <v>450</v>
      </c>
      <c r="J32" t="str">
        <f t="shared" si="0"/>
        <v>February</v>
      </c>
    </row>
    <row r="33" spans="1:10" x14ac:dyDescent="0.25">
      <c r="A33">
        <v>1032</v>
      </c>
      <c r="B33" s="1">
        <v>46061</v>
      </c>
      <c r="C33" t="s">
        <v>23</v>
      </c>
      <c r="D33" t="s">
        <v>24</v>
      </c>
      <c r="E33" t="s">
        <v>4</v>
      </c>
      <c r="F33" t="s">
        <v>16</v>
      </c>
      <c r="G33">
        <v>4</v>
      </c>
      <c r="H33">
        <v>50</v>
      </c>
      <c r="I33">
        <v>200</v>
      </c>
      <c r="J33" t="str">
        <f t="shared" si="0"/>
        <v>February</v>
      </c>
    </row>
    <row r="34" spans="1:10" x14ac:dyDescent="0.25">
      <c r="A34">
        <v>1033</v>
      </c>
      <c r="B34" s="1">
        <v>46082</v>
      </c>
      <c r="C34" t="s">
        <v>14</v>
      </c>
      <c r="D34" t="s">
        <v>15</v>
      </c>
      <c r="E34" t="s">
        <v>19</v>
      </c>
      <c r="F34" t="s">
        <v>20</v>
      </c>
      <c r="G34">
        <v>1</v>
      </c>
      <c r="H34">
        <v>940</v>
      </c>
      <c r="I34">
        <v>940</v>
      </c>
      <c r="J34" t="str">
        <f t="shared" ref="J34:J61" si="1">TEXT(B34,"mmmm")</f>
        <v>March</v>
      </c>
    </row>
    <row r="35" spans="1:10" x14ac:dyDescent="0.25">
      <c r="A35">
        <v>1034</v>
      </c>
      <c r="B35" s="1">
        <v>46082</v>
      </c>
      <c r="C35" t="s">
        <v>17</v>
      </c>
      <c r="D35" t="s">
        <v>29</v>
      </c>
      <c r="E35" t="s">
        <v>1</v>
      </c>
      <c r="F35" t="s">
        <v>25</v>
      </c>
      <c r="G35">
        <v>5</v>
      </c>
      <c r="H35">
        <v>205</v>
      </c>
      <c r="I35">
        <v>1025</v>
      </c>
      <c r="J35" t="str">
        <f t="shared" si="1"/>
        <v>March</v>
      </c>
    </row>
    <row r="36" spans="1:10" x14ac:dyDescent="0.25">
      <c r="A36">
        <v>1035</v>
      </c>
      <c r="B36" s="1">
        <v>46083</v>
      </c>
      <c r="C36" t="s">
        <v>21</v>
      </c>
      <c r="D36" t="s">
        <v>31</v>
      </c>
      <c r="E36" t="s">
        <v>2</v>
      </c>
      <c r="F36" t="s">
        <v>16</v>
      </c>
      <c r="G36">
        <v>6</v>
      </c>
      <c r="H36">
        <v>31</v>
      </c>
      <c r="I36">
        <v>186</v>
      </c>
      <c r="J36" t="str">
        <f t="shared" si="1"/>
        <v>March</v>
      </c>
    </row>
    <row r="37" spans="1:10" x14ac:dyDescent="0.25">
      <c r="A37">
        <v>1036</v>
      </c>
      <c r="B37" s="1">
        <v>46083</v>
      </c>
      <c r="C37" t="s">
        <v>23</v>
      </c>
      <c r="D37" t="s">
        <v>34</v>
      </c>
      <c r="E37" t="s">
        <v>27</v>
      </c>
      <c r="F37" t="s">
        <v>28</v>
      </c>
      <c r="G37">
        <v>1</v>
      </c>
      <c r="H37">
        <v>300</v>
      </c>
      <c r="I37">
        <v>300</v>
      </c>
      <c r="J37" t="str">
        <f t="shared" si="1"/>
        <v>March</v>
      </c>
    </row>
    <row r="38" spans="1:10" x14ac:dyDescent="0.25">
      <c r="A38">
        <v>1037</v>
      </c>
      <c r="B38" s="1">
        <v>46084</v>
      </c>
      <c r="C38" t="s">
        <v>14</v>
      </c>
      <c r="D38" t="s">
        <v>26</v>
      </c>
      <c r="E38" t="s">
        <v>30</v>
      </c>
      <c r="F38" t="s">
        <v>16</v>
      </c>
      <c r="G38">
        <v>8</v>
      </c>
      <c r="H38">
        <v>24</v>
      </c>
      <c r="I38">
        <v>192</v>
      </c>
      <c r="J38" t="str">
        <f t="shared" si="1"/>
        <v>March</v>
      </c>
    </row>
    <row r="39" spans="1:10" x14ac:dyDescent="0.25">
      <c r="A39">
        <v>1038</v>
      </c>
      <c r="B39" s="1">
        <v>46084</v>
      </c>
      <c r="C39" t="s">
        <v>17</v>
      </c>
      <c r="D39" t="s">
        <v>18</v>
      </c>
      <c r="E39" t="s">
        <v>37</v>
      </c>
      <c r="F39" t="s">
        <v>33</v>
      </c>
      <c r="G39">
        <v>2</v>
      </c>
      <c r="H39">
        <v>330</v>
      </c>
      <c r="I39">
        <v>660</v>
      </c>
      <c r="J39" t="str">
        <f t="shared" si="1"/>
        <v>March</v>
      </c>
    </row>
    <row r="40" spans="1:10" x14ac:dyDescent="0.25">
      <c r="A40">
        <v>1039</v>
      </c>
      <c r="B40" s="1">
        <v>46085</v>
      </c>
      <c r="C40" t="s">
        <v>21</v>
      </c>
      <c r="D40" t="s">
        <v>22</v>
      </c>
      <c r="E40" t="s">
        <v>35</v>
      </c>
      <c r="F40" t="s">
        <v>36</v>
      </c>
      <c r="G40">
        <v>3</v>
      </c>
      <c r="H40">
        <v>405</v>
      </c>
      <c r="I40">
        <v>1215</v>
      </c>
      <c r="J40" t="str">
        <f t="shared" si="1"/>
        <v>March</v>
      </c>
    </row>
    <row r="41" spans="1:10" x14ac:dyDescent="0.25">
      <c r="A41">
        <v>1040</v>
      </c>
      <c r="B41" s="1">
        <v>46085</v>
      </c>
      <c r="C41" t="s">
        <v>23</v>
      </c>
      <c r="D41" t="s">
        <v>34</v>
      </c>
      <c r="E41" t="s">
        <v>3</v>
      </c>
      <c r="F41" t="s">
        <v>16</v>
      </c>
      <c r="G41">
        <v>9</v>
      </c>
      <c r="H41">
        <v>21</v>
      </c>
      <c r="I41">
        <v>189</v>
      </c>
      <c r="J41" t="str">
        <f t="shared" si="1"/>
        <v>March</v>
      </c>
    </row>
    <row r="42" spans="1:10" x14ac:dyDescent="0.25">
      <c r="A42">
        <v>1041</v>
      </c>
      <c r="B42" s="1">
        <v>46086</v>
      </c>
      <c r="C42" t="s">
        <v>14</v>
      </c>
      <c r="D42" t="s">
        <v>15</v>
      </c>
      <c r="E42" t="s">
        <v>0</v>
      </c>
      <c r="F42" t="s">
        <v>16</v>
      </c>
      <c r="G42">
        <v>4</v>
      </c>
      <c r="H42">
        <v>43</v>
      </c>
      <c r="I42">
        <v>172</v>
      </c>
      <c r="J42" t="str">
        <f t="shared" si="1"/>
        <v>March</v>
      </c>
    </row>
    <row r="43" spans="1:10" x14ac:dyDescent="0.25">
      <c r="A43">
        <v>1042</v>
      </c>
      <c r="B43" s="1">
        <v>46086</v>
      </c>
      <c r="C43" t="s">
        <v>17</v>
      </c>
      <c r="D43" t="s">
        <v>18</v>
      </c>
      <c r="E43" t="s">
        <v>4</v>
      </c>
      <c r="F43" t="s">
        <v>16</v>
      </c>
      <c r="G43">
        <v>6</v>
      </c>
      <c r="H43">
        <v>49</v>
      </c>
      <c r="I43">
        <v>294</v>
      </c>
      <c r="J43" t="str">
        <f t="shared" si="1"/>
        <v>March</v>
      </c>
    </row>
    <row r="44" spans="1:10" x14ac:dyDescent="0.25">
      <c r="A44">
        <v>1043</v>
      </c>
      <c r="B44" s="1">
        <v>46087</v>
      </c>
      <c r="C44" t="s">
        <v>21</v>
      </c>
      <c r="D44" t="s">
        <v>22</v>
      </c>
      <c r="E44" t="s">
        <v>19</v>
      </c>
      <c r="F44" t="s">
        <v>20</v>
      </c>
      <c r="G44">
        <v>2</v>
      </c>
      <c r="H44">
        <v>870</v>
      </c>
      <c r="I44">
        <v>1740</v>
      </c>
      <c r="J44" t="str">
        <f t="shared" si="1"/>
        <v>March</v>
      </c>
    </row>
    <row r="45" spans="1:10" x14ac:dyDescent="0.25">
      <c r="A45">
        <v>1044</v>
      </c>
      <c r="B45" s="1">
        <v>46087</v>
      </c>
      <c r="C45" t="s">
        <v>23</v>
      </c>
      <c r="D45" t="s">
        <v>34</v>
      </c>
      <c r="E45" t="s">
        <v>1</v>
      </c>
      <c r="F45" t="s">
        <v>25</v>
      </c>
      <c r="G45">
        <v>3</v>
      </c>
      <c r="H45">
        <v>218</v>
      </c>
      <c r="I45">
        <v>654</v>
      </c>
      <c r="J45" t="str">
        <f t="shared" si="1"/>
        <v>March</v>
      </c>
    </row>
    <row r="46" spans="1:10" x14ac:dyDescent="0.25">
      <c r="A46">
        <v>1045</v>
      </c>
      <c r="B46" s="1">
        <v>46088</v>
      </c>
      <c r="C46" t="s">
        <v>14</v>
      </c>
      <c r="D46" t="s">
        <v>26</v>
      </c>
      <c r="E46" t="s">
        <v>32</v>
      </c>
      <c r="F46" t="s">
        <v>33</v>
      </c>
      <c r="G46">
        <v>1</v>
      </c>
      <c r="H46">
        <v>160</v>
      </c>
      <c r="I46">
        <v>160</v>
      </c>
      <c r="J46" t="str">
        <f t="shared" si="1"/>
        <v>March</v>
      </c>
    </row>
    <row r="47" spans="1:10" x14ac:dyDescent="0.25">
      <c r="A47">
        <v>1046</v>
      </c>
      <c r="B47" s="1">
        <v>46088</v>
      </c>
      <c r="C47" t="s">
        <v>17</v>
      </c>
      <c r="D47" t="s">
        <v>29</v>
      </c>
      <c r="E47" t="s">
        <v>27</v>
      </c>
      <c r="F47" t="s">
        <v>28</v>
      </c>
      <c r="G47">
        <v>2</v>
      </c>
      <c r="H47">
        <v>290</v>
      </c>
      <c r="I47">
        <v>580</v>
      </c>
      <c r="J47" t="str">
        <f t="shared" si="1"/>
        <v>March</v>
      </c>
    </row>
    <row r="48" spans="1:10" x14ac:dyDescent="0.25">
      <c r="A48">
        <v>1047</v>
      </c>
      <c r="B48" s="1">
        <v>46089</v>
      </c>
      <c r="C48" t="s">
        <v>21</v>
      </c>
      <c r="D48" t="s">
        <v>22</v>
      </c>
      <c r="E48" t="s">
        <v>2</v>
      </c>
      <c r="F48" t="s">
        <v>16</v>
      </c>
      <c r="G48">
        <v>5</v>
      </c>
      <c r="H48">
        <v>33</v>
      </c>
      <c r="I48">
        <v>165</v>
      </c>
      <c r="J48" t="str">
        <f t="shared" si="1"/>
        <v>March</v>
      </c>
    </row>
    <row r="49" spans="1:10" x14ac:dyDescent="0.25">
      <c r="A49">
        <v>1048</v>
      </c>
      <c r="B49" s="1">
        <v>46089</v>
      </c>
      <c r="C49" t="s">
        <v>23</v>
      </c>
      <c r="D49" t="s">
        <v>24</v>
      </c>
      <c r="E49" t="s">
        <v>35</v>
      </c>
      <c r="F49" t="s">
        <v>36</v>
      </c>
      <c r="G49">
        <v>2</v>
      </c>
      <c r="H49">
        <v>400</v>
      </c>
      <c r="I49">
        <v>800</v>
      </c>
      <c r="J49" t="str">
        <f t="shared" si="1"/>
        <v>March</v>
      </c>
    </row>
    <row r="50" spans="1:10" x14ac:dyDescent="0.25">
      <c r="A50">
        <v>1049</v>
      </c>
      <c r="B50" s="1">
        <v>46090</v>
      </c>
      <c r="C50" t="s">
        <v>14</v>
      </c>
      <c r="D50" t="s">
        <v>34</v>
      </c>
      <c r="E50" t="s">
        <v>3</v>
      </c>
      <c r="F50" t="s">
        <v>16</v>
      </c>
      <c r="G50">
        <v>7</v>
      </c>
      <c r="H50">
        <v>20</v>
      </c>
      <c r="I50">
        <v>140</v>
      </c>
      <c r="J50" t="str">
        <f t="shared" si="1"/>
        <v>March</v>
      </c>
    </row>
    <row r="51" spans="1:10" x14ac:dyDescent="0.25">
      <c r="A51">
        <v>1050</v>
      </c>
      <c r="B51" s="1">
        <v>46090</v>
      </c>
      <c r="C51" t="s">
        <v>17</v>
      </c>
      <c r="D51" t="s">
        <v>18</v>
      </c>
      <c r="E51" t="s">
        <v>37</v>
      </c>
      <c r="F51" t="s">
        <v>33</v>
      </c>
      <c r="G51">
        <v>1</v>
      </c>
      <c r="H51">
        <v>350</v>
      </c>
      <c r="I51">
        <v>350</v>
      </c>
      <c r="J51" t="str">
        <f t="shared" si="1"/>
        <v>March</v>
      </c>
    </row>
    <row r="52" spans="1:10" x14ac:dyDescent="0.25">
      <c r="A52">
        <v>1051</v>
      </c>
      <c r="B52" s="1">
        <v>46091</v>
      </c>
      <c r="C52" t="s">
        <v>21</v>
      </c>
      <c r="D52" t="s">
        <v>31</v>
      </c>
      <c r="E52" t="s">
        <v>4</v>
      </c>
      <c r="F52" t="s">
        <v>16</v>
      </c>
      <c r="G52">
        <v>5</v>
      </c>
      <c r="H52">
        <v>51</v>
      </c>
      <c r="I52">
        <v>255</v>
      </c>
      <c r="J52" t="str">
        <f t="shared" si="1"/>
        <v>March</v>
      </c>
    </row>
    <row r="53" spans="1:10" x14ac:dyDescent="0.25">
      <c r="A53">
        <v>1052</v>
      </c>
      <c r="B53" s="1">
        <v>46091</v>
      </c>
      <c r="C53" t="s">
        <v>23</v>
      </c>
      <c r="D53" t="s">
        <v>24</v>
      </c>
      <c r="E53" t="s">
        <v>0</v>
      </c>
      <c r="F53" t="s">
        <v>16</v>
      </c>
      <c r="G53">
        <v>3</v>
      </c>
      <c r="H53">
        <v>44</v>
      </c>
      <c r="I53">
        <v>132</v>
      </c>
      <c r="J53" t="str">
        <f t="shared" si="1"/>
        <v>March</v>
      </c>
    </row>
    <row r="54" spans="1:10" x14ac:dyDescent="0.25">
      <c r="A54">
        <v>1053</v>
      </c>
      <c r="B54" s="1">
        <v>46092</v>
      </c>
      <c r="C54" t="s">
        <v>14</v>
      </c>
      <c r="D54" t="s">
        <v>34</v>
      </c>
      <c r="E54" t="s">
        <v>1</v>
      </c>
      <c r="F54" t="s">
        <v>25</v>
      </c>
      <c r="G54">
        <v>2</v>
      </c>
      <c r="H54">
        <v>230</v>
      </c>
      <c r="I54">
        <v>460</v>
      </c>
      <c r="J54" t="str">
        <f t="shared" si="1"/>
        <v>March</v>
      </c>
    </row>
    <row r="55" spans="1:10" x14ac:dyDescent="0.25">
      <c r="A55">
        <v>1054</v>
      </c>
      <c r="B55" s="1">
        <v>46092</v>
      </c>
      <c r="C55" t="s">
        <v>17</v>
      </c>
      <c r="D55" t="s">
        <v>29</v>
      </c>
      <c r="E55" t="s">
        <v>19</v>
      </c>
      <c r="F55" t="s">
        <v>20</v>
      </c>
      <c r="G55">
        <v>1</v>
      </c>
      <c r="H55">
        <v>910</v>
      </c>
      <c r="I55">
        <v>910</v>
      </c>
      <c r="J55" t="str">
        <f t="shared" si="1"/>
        <v>March</v>
      </c>
    </row>
    <row r="56" spans="1:10" x14ac:dyDescent="0.25">
      <c r="A56">
        <v>1055</v>
      </c>
      <c r="B56" s="1">
        <v>46093</v>
      </c>
      <c r="C56" t="s">
        <v>21</v>
      </c>
      <c r="D56" t="s">
        <v>22</v>
      </c>
      <c r="E56" t="s">
        <v>27</v>
      </c>
      <c r="F56" t="s">
        <v>28</v>
      </c>
      <c r="G56">
        <v>1</v>
      </c>
      <c r="H56">
        <v>305</v>
      </c>
      <c r="I56">
        <v>305</v>
      </c>
      <c r="J56" t="str">
        <f t="shared" si="1"/>
        <v>March</v>
      </c>
    </row>
    <row r="57" spans="1:10" x14ac:dyDescent="0.25">
      <c r="A57">
        <v>1056</v>
      </c>
      <c r="B57" s="1">
        <v>46093</v>
      </c>
      <c r="C57" t="s">
        <v>23</v>
      </c>
      <c r="D57" t="s">
        <v>24</v>
      </c>
      <c r="E57" t="s">
        <v>2</v>
      </c>
      <c r="F57" t="s">
        <v>16</v>
      </c>
      <c r="G57">
        <v>6</v>
      </c>
      <c r="H57">
        <v>28</v>
      </c>
      <c r="I57">
        <v>168</v>
      </c>
      <c r="J57" t="str">
        <f t="shared" si="1"/>
        <v>March</v>
      </c>
    </row>
    <row r="58" spans="1:10" x14ac:dyDescent="0.25">
      <c r="A58">
        <v>1057</v>
      </c>
      <c r="B58" s="1">
        <v>46094</v>
      </c>
      <c r="C58" t="s">
        <v>14</v>
      </c>
      <c r="D58" t="s">
        <v>15</v>
      </c>
      <c r="E58" t="s">
        <v>35</v>
      </c>
      <c r="F58" t="s">
        <v>36</v>
      </c>
      <c r="G58">
        <v>4</v>
      </c>
      <c r="H58">
        <v>385</v>
      </c>
      <c r="I58">
        <v>1540</v>
      </c>
      <c r="J58" t="str">
        <f t="shared" si="1"/>
        <v>March</v>
      </c>
    </row>
    <row r="59" spans="1:10" x14ac:dyDescent="0.25">
      <c r="A59">
        <v>1058</v>
      </c>
      <c r="B59" s="1">
        <v>46094</v>
      </c>
      <c r="C59" t="s">
        <v>17</v>
      </c>
      <c r="D59" t="s">
        <v>18</v>
      </c>
      <c r="E59" t="s">
        <v>30</v>
      </c>
      <c r="F59" t="s">
        <v>16</v>
      </c>
      <c r="G59">
        <v>7</v>
      </c>
      <c r="H59">
        <v>23</v>
      </c>
      <c r="I59">
        <v>161</v>
      </c>
      <c r="J59" t="str">
        <f t="shared" si="1"/>
        <v>March</v>
      </c>
    </row>
    <row r="60" spans="1:10" x14ac:dyDescent="0.25">
      <c r="A60">
        <v>1059</v>
      </c>
      <c r="B60" s="1">
        <v>46095</v>
      </c>
      <c r="C60" t="s">
        <v>21</v>
      </c>
      <c r="D60" t="s">
        <v>31</v>
      </c>
      <c r="E60" t="s">
        <v>32</v>
      </c>
      <c r="F60" t="s">
        <v>33</v>
      </c>
      <c r="G60">
        <v>2</v>
      </c>
      <c r="H60">
        <v>148</v>
      </c>
      <c r="I60">
        <v>296</v>
      </c>
      <c r="J60" t="str">
        <f t="shared" si="1"/>
        <v>March</v>
      </c>
    </row>
    <row r="61" spans="1:10" x14ac:dyDescent="0.25">
      <c r="A61">
        <v>1060</v>
      </c>
      <c r="B61" s="1">
        <v>46095</v>
      </c>
      <c r="C61" t="s">
        <v>23</v>
      </c>
      <c r="D61" t="s">
        <v>34</v>
      </c>
      <c r="E61" t="s">
        <v>3</v>
      </c>
      <c r="F61" t="s">
        <v>16</v>
      </c>
      <c r="G61">
        <v>8</v>
      </c>
      <c r="H61">
        <v>19</v>
      </c>
      <c r="I61">
        <v>152</v>
      </c>
      <c r="J61" t="str">
        <f t="shared" si="1"/>
        <v>March</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D2E6-7565-471F-83CF-61C8EBDB0987}">
  <dimension ref="A1:F20"/>
  <sheetViews>
    <sheetView workbookViewId="0">
      <selection activeCell="A8" sqref="A8"/>
    </sheetView>
  </sheetViews>
  <sheetFormatPr defaultRowHeight="15" x14ac:dyDescent="0.25"/>
  <cols>
    <col min="1" max="1" width="44.140625" bestFit="1" customWidth="1"/>
    <col min="2" max="2" width="15.85546875" bestFit="1" customWidth="1"/>
    <col min="3" max="3" width="10.42578125" bestFit="1" customWidth="1"/>
    <col min="4" max="4" width="16.28515625" bestFit="1" customWidth="1"/>
    <col min="5" max="5" width="11.28515625" bestFit="1" customWidth="1"/>
    <col min="6" max="6" width="12.42578125" bestFit="1" customWidth="1"/>
    <col min="7" max="8" width="8.42578125" bestFit="1" customWidth="1"/>
    <col min="9" max="9" width="9.42578125" bestFit="1" customWidth="1"/>
    <col min="10" max="26" width="8.42578125" bestFit="1" customWidth="1"/>
    <col min="27" max="31" width="9.42578125" bestFit="1" customWidth="1"/>
    <col min="32" max="32" width="11.28515625" bestFit="1" customWidth="1"/>
  </cols>
  <sheetData>
    <row r="1" spans="1:6" ht="18.75" x14ac:dyDescent="0.3">
      <c r="A1" s="6" t="s">
        <v>42</v>
      </c>
    </row>
    <row r="3" spans="1:6" x14ac:dyDescent="0.25">
      <c r="A3" s="7" t="s">
        <v>10</v>
      </c>
      <c r="B3" s="7" t="s">
        <v>43</v>
      </c>
      <c r="C3" s="7" t="s">
        <v>44</v>
      </c>
      <c r="D3" s="7" t="s">
        <v>45</v>
      </c>
      <c r="E3" s="7" t="s">
        <v>39</v>
      </c>
    </row>
    <row r="4" spans="1:6" x14ac:dyDescent="0.25">
      <c r="A4" t="s">
        <v>14</v>
      </c>
      <c r="B4" s="4">
        <f>SUMIFS(SalesData[Total Sales],SalesData[Region],A4,SalesData[Order Date],"&gt;="&amp;DATE(2026,1,1),SalesData[Order Date],"&lt;"&amp;DATE(2026,2,1))</f>
        <v>1860</v>
      </c>
      <c r="C4" s="4">
        <f>SUMIFS(SalesData[Total Sales],SalesData[Region],A4,SalesData[Order Date],"&gt;="&amp;DATE(2026,2,1),SalesData[Order Date],"&lt;"&amp;DATE(2026,3,1))</f>
        <v>2415</v>
      </c>
      <c r="D4" s="4">
        <f>SUMIFS(SalesData[Total Sales],SalesData[Region],A4,SalesData[Order Date],"&gt;="&amp;DATE(2026,3,1),SalesData[Order Date],"&lt;"&amp;DATE(2026,4,1))</f>
        <v>3604</v>
      </c>
      <c r="E4" s="4">
        <f>SUM(B4:D4)</f>
        <v>7879</v>
      </c>
    </row>
    <row r="5" spans="1:6" x14ac:dyDescent="0.25">
      <c r="A5" t="s">
        <v>23</v>
      </c>
      <c r="B5" s="4">
        <f>SUMIFS(SalesData[Total Sales],SalesData[Region],A5,SalesData[Order Date],"&gt;="&amp;DATE(2026,1,1),SalesData[Order Date],"&lt;"&amp;DATE(2026,2,1))</f>
        <v>2506</v>
      </c>
      <c r="C5" s="4">
        <f>SUMIFS(SalesData[Total Sales],SalesData[Region],A5,SalesData[Order Date],"&gt;="&amp;DATE(2026,2,1),SalesData[Order Date],"&lt;"&amp;DATE(2026,3,1))</f>
        <v>791</v>
      </c>
      <c r="D5" s="4">
        <f>SUMIFS(SalesData[Total Sales],SalesData[Region],A5,SalesData[Order Date],"&gt;="&amp;DATE(2026,3,1),SalesData[Order Date],"&lt;"&amp;DATE(2026,4,1))</f>
        <v>2395</v>
      </c>
      <c r="E5" s="4">
        <f>SUM(B5:D5)</f>
        <v>5692</v>
      </c>
    </row>
    <row r="6" spans="1:6" x14ac:dyDescent="0.25">
      <c r="A6" t="s">
        <v>21</v>
      </c>
      <c r="B6" s="4">
        <f>SUMIFS(SalesData[Total Sales],SalesData[Region],A6,SalesData[Order Date],"&gt;="&amp;DATE(2026,1,1),SalesData[Order Date],"&lt;"&amp;DATE(2026,2,1))</f>
        <v>748</v>
      </c>
      <c r="C6" s="4">
        <f>SUMIFS(SalesData[Total Sales],SalesData[Region],A6,SalesData[Order Date],"&gt;="&amp;DATE(2026,2,1),SalesData[Order Date],"&lt;"&amp;DATE(2026,3,1))</f>
        <v>4065</v>
      </c>
      <c r="D6" s="4">
        <f>SUMIFS(SalesData[Total Sales],SalesData[Region],A6,SalesData[Order Date],"&gt;="&amp;DATE(2026,3,1),SalesData[Order Date],"&lt;"&amp;DATE(2026,4,1))</f>
        <v>4162</v>
      </c>
      <c r="E6" s="4">
        <f>SUM(B6:D6)</f>
        <v>8975</v>
      </c>
    </row>
    <row r="7" spans="1:6" x14ac:dyDescent="0.25">
      <c r="A7" t="s">
        <v>17</v>
      </c>
      <c r="B7" s="4">
        <f>SUMIFS(SalesData[Total Sales],SalesData[Region],A7,SalesData[Order Date],"&gt;="&amp;DATE(2026,1,1),SalesData[Order Date],"&lt;"&amp;DATE(2026,2,1))</f>
        <v>2510</v>
      </c>
      <c r="C7" s="4">
        <f>SUMIFS(SalesData[Total Sales],SalesData[Region],A7,SalesData[Order Date],"&gt;="&amp;DATE(2026,2,1),SalesData[Order Date],"&lt;"&amp;DATE(2026,3,1))</f>
        <v>1660</v>
      </c>
      <c r="D7" s="4">
        <f>SUMIFS(SalesData[Total Sales],SalesData[Region],A7,SalesData[Order Date],"&gt;="&amp;DATE(2026,3,1),SalesData[Order Date],"&lt;"&amp;DATE(2026,4,1))</f>
        <v>3980</v>
      </c>
      <c r="E7" s="4">
        <f>SUM(B7:D7)</f>
        <v>8150</v>
      </c>
    </row>
    <row r="8" spans="1:6" x14ac:dyDescent="0.25">
      <c r="A8" s="8" t="s">
        <v>39</v>
      </c>
      <c r="B8" s="9">
        <f>SUM(B4:B7)</f>
        <v>7624</v>
      </c>
      <c r="C8" s="9">
        <f>SUM(C4:C7)</f>
        <v>8931</v>
      </c>
      <c r="D8" s="9">
        <f>SUM(D4:D7)</f>
        <v>14141</v>
      </c>
      <c r="E8" s="9">
        <f>SUM(E4:E7)</f>
        <v>30696</v>
      </c>
    </row>
    <row r="10" spans="1:6" ht="15.75" x14ac:dyDescent="0.25">
      <c r="A10" s="13" t="s">
        <v>52</v>
      </c>
    </row>
    <row r="12" spans="1:6" x14ac:dyDescent="0.25">
      <c r="A12" s="17" t="s">
        <v>10</v>
      </c>
      <c r="B12" s="17" t="s">
        <v>53</v>
      </c>
      <c r="C12" s="17" t="s">
        <v>54</v>
      </c>
      <c r="D12" s="17" t="s">
        <v>55</v>
      </c>
      <c r="E12" s="17" t="s">
        <v>56</v>
      </c>
      <c r="F12" s="17" t="s">
        <v>57</v>
      </c>
    </row>
    <row r="13" spans="1:6" x14ac:dyDescent="0.25">
      <c r="A13" s="18" t="s">
        <v>14</v>
      </c>
      <c r="B13" s="19">
        <f>C4-B4</f>
        <v>555</v>
      </c>
      <c r="C13" s="20">
        <f>IF(B4=0,"N/A",(C4-B4)/B4)</f>
        <v>0.29838709677419356</v>
      </c>
      <c r="D13" s="19">
        <f>D4-C4</f>
        <v>1189</v>
      </c>
      <c r="E13" s="20">
        <f>IF(C4=0,"N/A",(D4-C4)/C4)</f>
        <v>0.49233954451345757</v>
      </c>
      <c r="F13" s="18" t="str">
        <f>IF(AND(B13&lt;0,B13&lt;D13),"Jan→Feb",IF(AND(D13&lt;0,D13&lt;B13),"Feb→Mar","No Drop"))</f>
        <v>No Drop</v>
      </c>
    </row>
    <row r="14" spans="1:6" x14ac:dyDescent="0.25">
      <c r="A14" s="18" t="s">
        <v>23</v>
      </c>
      <c r="B14" s="19">
        <f>C5-B5</f>
        <v>-1715</v>
      </c>
      <c r="C14" s="20">
        <f>IF(B5=0,"N/A",(C5-B5)/B5)</f>
        <v>-0.68435754189944131</v>
      </c>
      <c r="D14" s="19">
        <f>D5-C5</f>
        <v>1604</v>
      </c>
      <c r="E14" s="20">
        <f>IF(C5=0,"N/A",(D5-C5)/C5)</f>
        <v>2.0278128950695322</v>
      </c>
      <c r="F14" s="18" t="str">
        <f>IF(AND(B14&lt;0,B14&lt;D14),"Jan→Feb",IF(AND(D14&lt;0,D14&lt;B14),"Feb→Mar","No Drop"))</f>
        <v>Jan→Feb</v>
      </c>
    </row>
    <row r="15" spans="1:6" x14ac:dyDescent="0.25">
      <c r="A15" s="18" t="s">
        <v>21</v>
      </c>
      <c r="B15" s="19">
        <f>C6-B6</f>
        <v>3317</v>
      </c>
      <c r="C15" s="20">
        <f>IF(B6=0,"N/A",(C6-B6)/B6)</f>
        <v>4.4344919786096257</v>
      </c>
      <c r="D15" s="19">
        <f>D6-C6</f>
        <v>97</v>
      </c>
      <c r="E15" s="20">
        <f>IF(C6=0,"N/A",(D6-C6)/C6)</f>
        <v>2.3862238622386223E-2</v>
      </c>
      <c r="F15" s="18" t="str">
        <f>IF(AND(B15&lt;0,B15&lt;D15),"Jan→Feb",IF(AND(D15&lt;0,D15&lt;B15),"Feb→Mar","No Drop"))</f>
        <v>No Drop</v>
      </c>
    </row>
    <row r="16" spans="1:6" x14ac:dyDescent="0.25">
      <c r="A16" s="18" t="s">
        <v>17</v>
      </c>
      <c r="B16" s="19">
        <f>C7-B7</f>
        <v>-850</v>
      </c>
      <c r="C16" s="20">
        <f>IF(B7=0,"N/A",(C7-B7)/B7)</f>
        <v>-0.3386454183266932</v>
      </c>
      <c r="D16" s="19">
        <f>D7-C7</f>
        <v>2320</v>
      </c>
      <c r="E16" s="20">
        <f>IF(C7=0,"N/A",(D7-C7)/C7)</f>
        <v>1.3975903614457832</v>
      </c>
      <c r="F16" s="18" t="str">
        <f>IF(AND(B16&lt;0,B16&lt;D16),"Jan→Feb",IF(AND(D16&lt;0,D16&lt;B16),"Feb→Mar","No Drop"))</f>
        <v>Jan→Feb</v>
      </c>
    </row>
    <row r="18" spans="1:2" x14ac:dyDescent="0.25">
      <c r="A18" s="15" t="s">
        <v>58</v>
      </c>
    </row>
    <row r="19" spans="1:2" x14ac:dyDescent="0.25">
      <c r="A19" s="5" t="s">
        <v>23</v>
      </c>
      <c r="B19" s="5" t="s">
        <v>59</v>
      </c>
    </row>
    <row r="20" spans="1:2" x14ac:dyDescent="0.25">
      <c r="A20" s="5" t="s">
        <v>60</v>
      </c>
      <c r="B20" s="16" t="s">
        <v>61</v>
      </c>
    </row>
  </sheetData>
  <conditionalFormatting sqref="B13:D16">
    <cfRule type="cellIs" dxfId="0"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C3E12-46EE-45DB-BDF0-D0418B24B1B5}">
  <dimension ref="A1:F36"/>
  <sheetViews>
    <sheetView topLeftCell="A30" workbookViewId="0">
      <selection activeCell="F37" sqref="F37"/>
    </sheetView>
  </sheetViews>
  <sheetFormatPr defaultRowHeight="15" x14ac:dyDescent="0.25"/>
  <cols>
    <col min="1" max="1" width="11.28515625" bestFit="1" customWidth="1"/>
    <col min="2" max="2" width="16.140625" bestFit="1" customWidth="1"/>
    <col min="3" max="3" width="7.7109375" bestFit="1" customWidth="1"/>
    <col min="4" max="4" width="8.85546875" bestFit="1" customWidth="1"/>
    <col min="5" max="5" width="6.5703125" bestFit="1" customWidth="1"/>
    <col min="6" max="6" width="14.140625" bestFit="1" customWidth="1"/>
  </cols>
  <sheetData>
    <row r="1" spans="1:6" ht="18.75" x14ac:dyDescent="0.3">
      <c r="A1" s="28" t="s">
        <v>46</v>
      </c>
      <c r="B1" s="29"/>
      <c r="C1" s="29"/>
      <c r="D1" s="29"/>
      <c r="E1" s="29"/>
      <c r="F1" s="29"/>
    </row>
    <row r="3" spans="1:6" x14ac:dyDescent="0.25">
      <c r="A3" s="7" t="s">
        <v>10</v>
      </c>
      <c r="B3" s="7" t="s">
        <v>11</v>
      </c>
      <c r="C3" s="7" t="s">
        <v>43</v>
      </c>
      <c r="D3" s="7" t="s">
        <v>44</v>
      </c>
      <c r="E3" s="7" t="s">
        <v>45</v>
      </c>
      <c r="F3" s="7" t="s">
        <v>47</v>
      </c>
    </row>
    <row r="4" spans="1:6" x14ac:dyDescent="0.25">
      <c r="A4" t="s">
        <v>14</v>
      </c>
      <c r="B4" t="s">
        <v>16</v>
      </c>
      <c r="C4" s="4">
        <f>SUMIFS(SalesData[Total Sales],SalesData[Region],"East",SalesData[Category],"Accessories",SalesData[Order Date],"&gt;=1/1/2026",SalesData[Order Date],"&lt;2/1/2026")</f>
        <v>90</v>
      </c>
      <c r="D4" s="4">
        <f>SUMIFS(SalesData[Total Sales],SalesData[Region],"East",SalesData[Category],"Accessories",SalesData[Order Date],"&gt;=2/1/2026",SalesData[Order Date],"&lt;3/1/2026")</f>
        <v>0</v>
      </c>
      <c r="E4" s="4">
        <f>SUMIFS(SalesData[Total Sales],SalesData[Region],"East",SalesData[Category],"Accessories",SalesData[Order Date],"&gt;=3/1/2026",SalesData[Order Date],"&lt;4/1/2026")</f>
        <v>504</v>
      </c>
      <c r="F4" s="4">
        <f t="shared" ref="F4:F9" si="0">SUM(C4:E4)</f>
        <v>594</v>
      </c>
    </row>
    <row r="5" spans="1:6" x14ac:dyDescent="0.25">
      <c r="B5" t="s">
        <v>20</v>
      </c>
      <c r="C5" s="4">
        <f>SUMIFS(SalesData[Total Sales],SalesData[Region],"East",SalesData[Category],"Computers",SalesData[Order Date],"&gt;=1/1/2026",SalesData[Order Date],"&lt;2/1/2026")</f>
        <v>0</v>
      </c>
      <c r="D5" s="4">
        <f>SUMIFS(SalesData[Total Sales],SalesData[Region],"East",SalesData[Category],"Computers",SalesData[Order Date],"&gt;=2/1/2026",SalesData[Order Date],"&lt;3/1/2026")</f>
        <v>0</v>
      </c>
      <c r="E5" s="4">
        <f>SUMIFS(SalesData[Total Sales],SalesData[Region],"East",SalesData[Category],"Computers",SalesData[Order Date],"&gt;=3/1/2026",SalesData[Order Date],"&lt;4/1/2026")</f>
        <v>940</v>
      </c>
      <c r="F5" s="4">
        <f t="shared" si="0"/>
        <v>940</v>
      </c>
    </row>
    <row r="6" spans="1:6" x14ac:dyDescent="0.25">
      <c r="B6" t="s">
        <v>25</v>
      </c>
      <c r="C6" s="4">
        <f>SUMIFS(SalesData[Total Sales],SalesData[Region],"East",SalesData[Category],"Displays",SalesData[Order Date],"&gt;=1/1/2026",SalesData[Order Date],"&lt;2/1/2026")</f>
        <v>0</v>
      </c>
      <c r="D6" s="4">
        <f>SUMIFS(SalesData[Total Sales],SalesData[Region],"East",SalesData[Category],"Displays",SalesData[Order Date],"&gt;=2/1/2026",SalesData[Order Date],"&lt;3/1/2026")</f>
        <v>1535</v>
      </c>
      <c r="E6" s="4">
        <f>SUMIFS(SalesData[Total Sales],SalesData[Region],"East",SalesData[Category],"Displays",SalesData[Order Date],"&gt;=3/1/2026",SalesData[Order Date],"&lt;4/1/2026")</f>
        <v>460</v>
      </c>
      <c r="F6" s="4">
        <f t="shared" si="0"/>
        <v>1995</v>
      </c>
    </row>
    <row r="7" spans="1:6" x14ac:dyDescent="0.25">
      <c r="B7" t="s">
        <v>33</v>
      </c>
      <c r="C7" s="4">
        <f>SUMIFS(SalesData[Total Sales],SalesData[Region],"East",SalesData[Category],"Furniture",SalesData[Order Date],"&gt;=1/1/2026",SalesData[Order Date],"&lt;2/1/2026")</f>
        <v>320</v>
      </c>
      <c r="D7" s="4">
        <f>SUMIFS(SalesData[Total Sales],SalesData[Region],"East",SalesData[Category],"Furniture",SalesData[Order Date],"&gt;=2/1/2026",SalesData[Order Date],"&lt;3/1/2026")</f>
        <v>310</v>
      </c>
      <c r="E7" s="4">
        <f>SUMIFS(SalesData[Total Sales],SalesData[Region],"East",SalesData[Category],"Furniture",SalesData[Order Date],"&gt;=3/1/2026",SalesData[Order Date],"&lt;4/1/2026")</f>
        <v>160</v>
      </c>
      <c r="F7" s="4">
        <f t="shared" si="0"/>
        <v>790</v>
      </c>
    </row>
    <row r="8" spans="1:6" x14ac:dyDescent="0.25">
      <c r="B8" t="s">
        <v>36</v>
      </c>
      <c r="C8" s="4">
        <f>SUMIFS(SalesData[Total Sales],SalesData[Region],"East",SalesData[Category],"Mobile Devices",SalesData[Order Date],"&gt;=1/1/2026",SalesData[Order Date],"&lt;2/1/2026")</f>
        <v>1170</v>
      </c>
      <c r="D8" s="4">
        <f>SUMIFS(SalesData[Total Sales],SalesData[Region],"East",SalesData[Category],"Mobile Devices",SalesData[Order Date],"&gt;=2/1/2026",SalesData[Order Date],"&lt;3/1/2026")</f>
        <v>0</v>
      </c>
      <c r="E8" s="4">
        <f>SUMIFS(SalesData[Total Sales],SalesData[Region],"East",SalesData[Category],"Mobile Devices",SalesData[Order Date],"&gt;=3/1/2026",SalesData[Order Date],"&lt;4/1/2026")</f>
        <v>1540</v>
      </c>
      <c r="F8" s="4">
        <f t="shared" si="0"/>
        <v>2710</v>
      </c>
    </row>
    <row r="9" spans="1:6" x14ac:dyDescent="0.25">
      <c r="B9" t="s">
        <v>28</v>
      </c>
      <c r="C9" s="4">
        <f>SUMIFS(SalesData[Total Sales],SalesData[Region],"East",SalesData[Category],"Office Equipment",SalesData[Order Date],"&gt;=1/1/2026",SalesData[Order Date],"&lt;2/1/2026")</f>
        <v>280</v>
      </c>
      <c r="D9" s="4">
        <f>SUMIFS(SalesData[Total Sales],SalesData[Region],"East",SalesData[Category],"Office Equipment",SalesData[Order Date],"&gt;=2/1/2026",SalesData[Order Date],"&lt;3/1/2026")</f>
        <v>570</v>
      </c>
      <c r="E9" s="4">
        <f>SUMIFS(SalesData[Total Sales],SalesData[Region],"East",SalesData[Category],"Office Equipment",SalesData[Order Date],"&gt;=3/1/2026",SalesData[Order Date],"&lt;4/1/2026")</f>
        <v>0</v>
      </c>
      <c r="F9" s="4">
        <f t="shared" si="0"/>
        <v>850</v>
      </c>
    </row>
    <row r="10" spans="1:6" x14ac:dyDescent="0.25">
      <c r="A10" s="10" t="s">
        <v>48</v>
      </c>
      <c r="B10" s="10"/>
      <c r="C10" s="11">
        <f>SUM(C4:C9)</f>
        <v>1860</v>
      </c>
      <c r="D10" s="11">
        <f>SUM(D4:D9)</f>
        <v>2415</v>
      </c>
      <c r="E10" s="11">
        <f>SUM(E4:E9)</f>
        <v>3604</v>
      </c>
      <c r="F10" s="11">
        <f>SUM(F4:F9)</f>
        <v>7879</v>
      </c>
    </row>
    <row r="11" spans="1:6" x14ac:dyDescent="0.25">
      <c r="C11" s="4"/>
      <c r="D11" s="4"/>
      <c r="E11" s="4"/>
      <c r="F11" s="4"/>
    </row>
    <row r="12" spans="1:6" x14ac:dyDescent="0.25">
      <c r="A12" t="s">
        <v>23</v>
      </c>
      <c r="B12" t="s">
        <v>16</v>
      </c>
      <c r="C12" s="4">
        <f>SUMIFS(SalesData[Total Sales],SalesData[Region],"North",SalesData[Category],"Accessories",SalesData[Order Date],"&gt;=1/1/2026",SalesData[Order Date],"&lt;2/1/2026")</f>
        <v>336</v>
      </c>
      <c r="D12" s="4">
        <f>SUMIFS(SalesData[Total Sales],SalesData[Region],"North",SalesData[Category],"Accessories",SalesData[Order Date],"&gt;=2/1/2026",SalesData[Order Date],"&lt;3/1/2026")</f>
        <v>791</v>
      </c>
      <c r="E12" s="4">
        <f>SUMIFS(SalesData[Total Sales],SalesData[Region],"North",SalesData[Category],"Accessories",SalesData[Order Date],"&gt;=3/1/2026",SalesData[Order Date],"&lt;4/1/2026")</f>
        <v>641</v>
      </c>
      <c r="F12" s="4">
        <f t="shared" ref="F12:F17" si="1">SUM(C12:E12)</f>
        <v>1768</v>
      </c>
    </row>
    <row r="13" spans="1:6" x14ac:dyDescent="0.25">
      <c r="B13" t="s">
        <v>20</v>
      </c>
      <c r="C13" s="4">
        <f>SUMIFS(SalesData[Total Sales],SalesData[Region],"North",SalesData[Category],"Computers",SalesData[Order Date],"&gt;=1/1/2026",SalesData[Order Date],"&lt;2/1/2026")</f>
        <v>920</v>
      </c>
      <c r="D13" s="4">
        <f>SUMIFS(SalesData[Total Sales],SalesData[Region],"North",SalesData[Category],"Computers",SalesData[Order Date],"&gt;=2/1/2026",SalesData[Order Date],"&lt;3/1/2026")</f>
        <v>0</v>
      </c>
      <c r="E13" s="4">
        <f>SUMIFS(SalesData[Total Sales],SalesData[Region],"North",SalesData[Category],"Computers",SalesData[Order Date],"&gt;=3/1/2026",SalesData[Order Date],"&lt;4/1/2026")</f>
        <v>0</v>
      </c>
      <c r="F13" s="4">
        <f t="shared" si="1"/>
        <v>920</v>
      </c>
    </row>
    <row r="14" spans="1:6" x14ac:dyDescent="0.25">
      <c r="B14" t="s">
        <v>25</v>
      </c>
      <c r="C14" s="4">
        <f>SUMIFS(SalesData[Total Sales],SalesData[Region],"North",SalesData[Category],"Displays",SalesData[Order Date],"&gt;=1/1/2026",SalesData[Order Date],"&lt;2/1/2026")</f>
        <v>660</v>
      </c>
      <c r="D14" s="4">
        <f>SUMIFS(SalesData[Total Sales],SalesData[Region],"North",SalesData[Category],"Displays",SalesData[Order Date],"&gt;=2/1/2026",SalesData[Order Date],"&lt;3/1/2026")</f>
        <v>0</v>
      </c>
      <c r="E14" s="4">
        <f>SUMIFS(SalesData[Total Sales],SalesData[Region],"North",SalesData[Category],"Displays",SalesData[Order Date],"&gt;=3/1/2026",SalesData[Order Date],"&lt;4/1/2026")</f>
        <v>654</v>
      </c>
      <c r="F14" s="4">
        <f t="shared" si="1"/>
        <v>1314</v>
      </c>
    </row>
    <row r="15" spans="1:6" x14ac:dyDescent="0.25">
      <c r="B15" t="s">
        <v>33</v>
      </c>
      <c r="C15" s="4">
        <f>SUMIFS(SalesData[Total Sales],SalesData[Region],"North",SalesData[Category],"Furniture",SalesData[Order Date],"&gt;=1/1/2026",SalesData[Order Date],"&lt;2/1/2026")</f>
        <v>0</v>
      </c>
      <c r="D15" s="4">
        <f>SUMIFS(SalesData[Total Sales],SalesData[Region],"North",SalesData[Category],"Furniture",SalesData[Order Date],"&gt;=2/1/2026",SalesData[Order Date],"&lt;3/1/2026")</f>
        <v>0</v>
      </c>
      <c r="E15" s="4">
        <f>SUMIFS(SalesData[Total Sales],SalesData[Region],"North",SalesData[Category],"Furniture",SalesData[Order Date],"&gt;=3/1/2026",SalesData[Order Date],"&lt;4/1/2026")</f>
        <v>0</v>
      </c>
      <c r="F15" s="4">
        <f t="shared" si="1"/>
        <v>0</v>
      </c>
    </row>
    <row r="16" spans="1:6" x14ac:dyDescent="0.25">
      <c r="B16" t="s">
        <v>36</v>
      </c>
      <c r="C16" s="4">
        <f>SUMIFS(SalesData[Total Sales],SalesData[Region],"North",SalesData[Category],"Mobile Devices",SalesData[Order Date],"&gt;=1/1/2026",SalesData[Order Date],"&lt;2/1/2026")</f>
        <v>0</v>
      </c>
      <c r="D16" s="4">
        <f>SUMIFS(SalesData[Total Sales],SalesData[Region],"North",SalesData[Category],"Mobile Devices",SalesData[Order Date],"&gt;=2/1/2026",SalesData[Order Date],"&lt;3/1/2026")</f>
        <v>0</v>
      </c>
      <c r="E16" s="4">
        <f>SUMIFS(SalesData[Total Sales],SalesData[Region],"North",SalesData[Category],"Mobile Devices",SalesData[Order Date],"&gt;=3/1/2026",SalesData[Order Date],"&lt;4/1/2026")</f>
        <v>800</v>
      </c>
      <c r="F16" s="4">
        <f t="shared" si="1"/>
        <v>800</v>
      </c>
    </row>
    <row r="17" spans="1:6" x14ac:dyDescent="0.25">
      <c r="B17" t="s">
        <v>28</v>
      </c>
      <c r="C17" s="4">
        <f>SUMIFS(SalesData[Total Sales],SalesData[Region],"North",SalesData[Category],"Office Equipment",SalesData[Order Date],"&gt;=1/1/2026",SalesData[Order Date],"&lt;2/1/2026")</f>
        <v>590</v>
      </c>
      <c r="D17" s="4">
        <f>SUMIFS(SalesData[Total Sales],SalesData[Region],"North",SalesData[Category],"Office Equipment",SalesData[Order Date],"&gt;=2/1/2026",SalesData[Order Date],"&lt;3/1/2026")</f>
        <v>0</v>
      </c>
      <c r="E17" s="4">
        <f>SUMIFS(SalesData[Total Sales],SalesData[Region],"North",SalesData[Category],"Office Equipment",SalesData[Order Date],"&gt;=3/1/2026",SalesData[Order Date],"&lt;4/1/2026")</f>
        <v>300</v>
      </c>
      <c r="F17" s="4">
        <f t="shared" si="1"/>
        <v>890</v>
      </c>
    </row>
    <row r="18" spans="1:6" x14ac:dyDescent="0.25">
      <c r="A18" s="10" t="s">
        <v>49</v>
      </c>
      <c r="B18" s="10"/>
      <c r="C18" s="11">
        <f>SUM(C12:C17)</f>
        <v>2506</v>
      </c>
      <c r="D18" s="11">
        <f>SUM(D12:D17)</f>
        <v>791</v>
      </c>
      <c r="E18" s="11">
        <f>SUM(E12:E17)</f>
        <v>2395</v>
      </c>
      <c r="F18" s="11">
        <f>SUM(F12:F17)</f>
        <v>5692</v>
      </c>
    </row>
    <row r="19" spans="1:6" x14ac:dyDescent="0.25">
      <c r="C19" s="4"/>
      <c r="D19" s="4"/>
      <c r="E19" s="4"/>
      <c r="F19" s="4"/>
    </row>
    <row r="20" spans="1:6" x14ac:dyDescent="0.25">
      <c r="A20" t="s">
        <v>21</v>
      </c>
      <c r="B20" t="s">
        <v>16</v>
      </c>
      <c r="C20" s="4">
        <f>SUMIFS(SalesData[Total Sales],SalesData[Region],"South",SalesData[Category],"Accessories",SalesData[Order Date],"&gt;=1/1/2026",SalesData[Order Date],"&lt;2/1/2026")</f>
        <v>458</v>
      </c>
      <c r="D20" s="4">
        <f>SUMIFS(SalesData[Total Sales],SalesData[Region],"South",SalesData[Category],"Accessories",SalesData[Order Date],"&gt;=2/1/2026",SalesData[Order Date],"&lt;3/1/2026")</f>
        <v>0</v>
      </c>
      <c r="E20" s="4">
        <f>SUMIFS(SalesData[Total Sales],SalesData[Region],"South",SalesData[Category],"Accessories",SalesData[Order Date],"&gt;=3/1/2026",SalesData[Order Date],"&lt;4/1/2026")</f>
        <v>606</v>
      </c>
      <c r="F20" s="4">
        <f t="shared" ref="F20:F25" si="2">SUM(C20:E20)</f>
        <v>1064</v>
      </c>
    </row>
    <row r="21" spans="1:6" x14ac:dyDescent="0.25">
      <c r="B21" t="s">
        <v>20</v>
      </c>
      <c r="C21" s="4">
        <f>SUMIFS(SalesData[Total Sales],SalesData[Region],"South",SalesData[Category],"Computers",SalesData[Order Date],"&gt;=1/1/2026",SalesData[Order Date],"&lt;2/1/2026")</f>
        <v>0</v>
      </c>
      <c r="D21" s="4">
        <f>SUMIFS(SalesData[Total Sales],SalesData[Region],"South",SalesData[Category],"Computers",SalesData[Order Date],"&gt;=2/1/2026",SalesData[Order Date],"&lt;3/1/2026")</f>
        <v>1760</v>
      </c>
      <c r="E21" s="4">
        <f>SUMIFS(SalesData[Total Sales],SalesData[Region],"South",SalesData[Category],"Computers",SalesData[Order Date],"&gt;=3/1/2026",SalesData[Order Date],"&lt;4/1/2026")</f>
        <v>1740</v>
      </c>
      <c r="F21" s="4">
        <f t="shared" si="2"/>
        <v>3500</v>
      </c>
    </row>
    <row r="22" spans="1:6" x14ac:dyDescent="0.25">
      <c r="B22" t="s">
        <v>25</v>
      </c>
      <c r="C22" s="4">
        <f>SUMIFS(SalesData[Total Sales],SalesData[Region],"South",SalesData[Category],"Displays",SalesData[Order Date],"&gt;=1/1/2026",SalesData[Order Date],"&lt;2/1/2026")</f>
        <v>0</v>
      </c>
      <c r="D22" s="4">
        <f>SUMIFS(SalesData[Total Sales],SalesData[Region],"South",SalesData[Category],"Displays",SalesData[Order Date],"&gt;=2/1/2026",SalesData[Order Date],"&lt;3/1/2026")</f>
        <v>0</v>
      </c>
      <c r="E22" s="4">
        <f>SUMIFS(SalesData[Total Sales],SalesData[Region],"South",SalesData[Category],"Displays",SalesData[Order Date],"&gt;=3/1/2026",SalesData[Order Date],"&lt;4/1/2026")</f>
        <v>0</v>
      </c>
      <c r="F22" s="4">
        <f t="shared" si="2"/>
        <v>0</v>
      </c>
    </row>
    <row r="23" spans="1:6" x14ac:dyDescent="0.25">
      <c r="B23" t="s">
        <v>33</v>
      </c>
      <c r="C23" s="4">
        <f>SUMIFS(SalesData[Total Sales],SalesData[Region],"South",SalesData[Category],"Furniture",SalesData[Order Date],"&gt;=1/1/2026",SalesData[Order Date],"&lt;2/1/2026")</f>
        <v>290</v>
      </c>
      <c r="D23" s="4">
        <f>SUMIFS(SalesData[Total Sales],SalesData[Region],"South",SalesData[Category],"Furniture",SalesData[Order Date],"&gt;=2/1/2026",SalesData[Order Date],"&lt;3/1/2026")</f>
        <v>450</v>
      </c>
      <c r="E23" s="4">
        <f>SUMIFS(SalesData[Total Sales],SalesData[Region],"South",SalesData[Category],"Furniture",SalesData[Order Date],"&gt;=3/1/2026",SalesData[Order Date],"&lt;4/1/2026")</f>
        <v>296</v>
      </c>
      <c r="F23" s="4">
        <f t="shared" si="2"/>
        <v>1036</v>
      </c>
    </row>
    <row r="24" spans="1:6" x14ac:dyDescent="0.25">
      <c r="B24" t="s">
        <v>36</v>
      </c>
      <c r="C24" s="4">
        <f>SUMIFS(SalesData[Total Sales],SalesData[Region],"South",SalesData[Category],"Mobile Devices",SalesData[Order Date],"&gt;=1/1/2026",SalesData[Order Date],"&lt;2/1/2026")</f>
        <v>0</v>
      </c>
      <c r="D24" s="4">
        <f>SUMIFS(SalesData[Total Sales],SalesData[Region],"South",SalesData[Category],"Mobile Devices",SalesData[Order Date],"&gt;=2/1/2026",SalesData[Order Date],"&lt;3/1/2026")</f>
        <v>1580</v>
      </c>
      <c r="E24" s="4">
        <f>SUMIFS(SalesData[Total Sales],SalesData[Region],"South",SalesData[Category],"Mobile Devices",SalesData[Order Date],"&gt;=3/1/2026",SalesData[Order Date],"&lt;4/1/2026")</f>
        <v>1215</v>
      </c>
      <c r="F24" s="4">
        <f t="shared" si="2"/>
        <v>2795</v>
      </c>
    </row>
    <row r="25" spans="1:6" x14ac:dyDescent="0.25">
      <c r="B25" t="s">
        <v>28</v>
      </c>
      <c r="C25" s="4">
        <f>SUMIFS(SalesData[Total Sales],SalesData[Region],"South",SalesData[Category],"Office Equipment",SalesData[Order Date],"&gt;=1/1/2026",SalesData[Order Date],"&lt;2/1/2026")</f>
        <v>0</v>
      </c>
      <c r="D25" s="4">
        <f>SUMIFS(SalesData[Total Sales],SalesData[Region],"South",SalesData[Category],"Office Equipment",SalesData[Order Date],"&gt;=2/1/2026",SalesData[Order Date],"&lt;3/1/2026")</f>
        <v>275</v>
      </c>
      <c r="E25" s="4">
        <f>SUMIFS(SalesData[Total Sales],SalesData[Region],"South",SalesData[Category],"Office Equipment",SalesData[Order Date],"&gt;=3/1/2026",SalesData[Order Date],"&lt;4/1/2026")</f>
        <v>305</v>
      </c>
      <c r="F25" s="4">
        <f t="shared" si="2"/>
        <v>580</v>
      </c>
    </row>
    <row r="26" spans="1:6" x14ac:dyDescent="0.25">
      <c r="A26" s="10" t="s">
        <v>50</v>
      </c>
      <c r="B26" s="10"/>
      <c r="C26" s="11">
        <f>SUM(C20:C25)</f>
        <v>748</v>
      </c>
      <c r="D26" s="11">
        <f>SUM(D20:D25)</f>
        <v>4065</v>
      </c>
      <c r="E26" s="11">
        <f>SUM(E20:E25)</f>
        <v>4162</v>
      </c>
      <c r="F26" s="11">
        <f>SUM(F20:F25)</f>
        <v>8975</v>
      </c>
    </row>
    <row r="27" spans="1:6" x14ac:dyDescent="0.25">
      <c r="C27" s="4"/>
      <c r="D27" s="4"/>
      <c r="E27" s="4"/>
      <c r="F27" s="4"/>
    </row>
    <row r="28" spans="1:6" x14ac:dyDescent="0.25">
      <c r="A28" t="s">
        <v>17</v>
      </c>
      <c r="B28" t="s">
        <v>16</v>
      </c>
      <c r="C28" s="4">
        <f>SUMIFS(SalesData[Total Sales],SalesData[Region],"West",SalesData[Category],"Accessories",SalesData[Order Date],"&gt;=1/1/2026",SalesData[Order Date],"&lt;2/1/2026")</f>
        <v>390</v>
      </c>
      <c r="D28" s="4">
        <f>SUMIFS(SalesData[Total Sales],SalesData[Region],"West",SalesData[Category],"Accessories",SalesData[Order Date],"&gt;=2/1/2026",SalesData[Order Date],"&lt;3/1/2026")</f>
        <v>500</v>
      </c>
      <c r="E28" s="4">
        <f>SUMIFS(SalesData[Total Sales],SalesData[Region],"West",SalesData[Category],"Accessories",SalesData[Order Date],"&gt;=3/1/2026",SalesData[Order Date],"&lt;4/1/2026")</f>
        <v>455</v>
      </c>
      <c r="F28" s="4">
        <f t="shared" ref="F28:F33" si="3">SUM(C28:E28)</f>
        <v>1345</v>
      </c>
    </row>
    <row r="29" spans="1:6" x14ac:dyDescent="0.25">
      <c r="B29" t="s">
        <v>20</v>
      </c>
      <c r="C29" s="4">
        <f>SUMIFS(SalesData[Total Sales],SalesData[Region],"West",SalesData[Category],"Computers",SalesData[Order Date],"&gt;=1/1/2026",SalesData[Order Date],"&lt;2/1/2026")</f>
        <v>1700</v>
      </c>
      <c r="D29" s="4">
        <f>SUMIFS(SalesData[Total Sales],SalesData[Region],"West",SalesData[Category],"Computers",SalesData[Order Date],"&gt;=2/1/2026",SalesData[Order Date],"&lt;3/1/2026")</f>
        <v>0</v>
      </c>
      <c r="E29" s="4">
        <f>SUMIFS(SalesData[Total Sales],SalesData[Region],"West",SalesData[Category],"Computers",SalesData[Order Date],"&gt;=3/1/2026",SalesData[Order Date],"&lt;4/1/2026")</f>
        <v>910</v>
      </c>
      <c r="F29" s="4">
        <f t="shared" si="3"/>
        <v>2610</v>
      </c>
    </row>
    <row r="30" spans="1:6" x14ac:dyDescent="0.25">
      <c r="B30" t="s">
        <v>25</v>
      </c>
      <c r="C30" s="4">
        <f>SUMIFS(SalesData[Total Sales],SalesData[Region],"West",SalesData[Category],"Displays",SalesData[Order Date],"&gt;=1/1/2026",SalesData[Order Date],"&lt;2/1/2026")</f>
        <v>420</v>
      </c>
      <c r="D30" s="4">
        <f>SUMIFS(SalesData[Total Sales],SalesData[Region],"West",SalesData[Category],"Displays",SalesData[Order Date],"&gt;=2/1/2026",SalesData[Order Date],"&lt;3/1/2026")</f>
        <v>0</v>
      </c>
      <c r="E30" s="4">
        <f>SUMIFS(SalesData[Total Sales],SalesData[Region],"West",SalesData[Category],"Displays",SalesData[Order Date],"&gt;=3/1/2026",SalesData[Order Date],"&lt;4/1/2026")</f>
        <v>1025</v>
      </c>
      <c r="F30" s="4">
        <f t="shared" si="3"/>
        <v>1445</v>
      </c>
    </row>
    <row r="31" spans="1:6" x14ac:dyDescent="0.25">
      <c r="B31" t="s">
        <v>33</v>
      </c>
      <c r="C31" s="4">
        <f>SUMIFS(SalesData[Total Sales],SalesData[Region],"West",SalesData[Category],"Furniture",SalesData[Order Date],"&gt;=1/1/2026",SalesData[Order Date],"&lt;2/1/2026")</f>
        <v>0</v>
      </c>
      <c r="D31" s="4">
        <f>SUMIFS(SalesData[Total Sales],SalesData[Region],"West",SalesData[Category],"Furniture",SalesData[Order Date],"&gt;=2/1/2026",SalesData[Order Date],"&lt;3/1/2026")</f>
        <v>340</v>
      </c>
      <c r="E31" s="4">
        <f>SUMIFS(SalesData[Total Sales],SalesData[Region],"West",SalesData[Category],"Furniture",SalesData[Order Date],"&gt;=3/1/2026",SalesData[Order Date],"&lt;4/1/2026")</f>
        <v>1010</v>
      </c>
      <c r="F31" s="4">
        <f t="shared" si="3"/>
        <v>1350</v>
      </c>
    </row>
    <row r="32" spans="1:6" x14ac:dyDescent="0.25">
      <c r="B32" t="s">
        <v>36</v>
      </c>
      <c r="C32" s="4">
        <f>SUMIFS(SalesData[Total Sales],SalesData[Region],"West",SalesData[Category],"Mobile Devices",SalesData[Order Date],"&gt;=1/1/2026",SalesData[Order Date],"&lt;2/1/2026")</f>
        <v>0</v>
      </c>
      <c r="D32" s="4">
        <f>SUMIFS(SalesData[Total Sales],SalesData[Region],"West",SalesData[Category],"Mobile Devices",SalesData[Order Date],"&gt;=2/1/2026",SalesData[Order Date],"&lt;3/1/2026")</f>
        <v>820</v>
      </c>
      <c r="E32" s="4">
        <f>SUMIFS(SalesData[Total Sales],SalesData[Region],"West",SalesData[Category],"Mobile Devices",SalesData[Order Date],"&gt;=3/1/2026",SalesData[Order Date],"&lt;4/1/2026")</f>
        <v>0</v>
      </c>
      <c r="F32" s="4">
        <f t="shared" si="3"/>
        <v>820</v>
      </c>
    </row>
    <row r="33" spans="1:6" x14ac:dyDescent="0.25">
      <c r="B33" t="s">
        <v>28</v>
      </c>
      <c r="C33" s="4">
        <f>SUMIFS(SalesData[Total Sales],SalesData[Region],"West",SalesData[Category],"Office Equipment",SalesData[Order Date],"&gt;=1/1/2026",SalesData[Order Date],"&lt;2/1/2026")</f>
        <v>0</v>
      </c>
      <c r="D33" s="4">
        <f>SUMIFS(SalesData[Total Sales],SalesData[Region],"West",SalesData[Category],"Office Equipment",SalesData[Order Date],"&gt;=2/1/2026",SalesData[Order Date],"&lt;3/1/2026")</f>
        <v>0</v>
      </c>
      <c r="E33" s="4">
        <f>SUMIFS(SalesData[Total Sales],SalesData[Region],"West",SalesData[Category],"Office Equipment",SalesData[Order Date],"&gt;=3/1/2026",SalesData[Order Date],"&lt;4/1/2026")</f>
        <v>580</v>
      </c>
      <c r="F33" s="4">
        <f t="shared" si="3"/>
        <v>580</v>
      </c>
    </row>
    <row r="34" spans="1:6" x14ac:dyDescent="0.25">
      <c r="A34" s="10" t="s">
        <v>51</v>
      </c>
      <c r="B34" s="10"/>
      <c r="C34" s="11">
        <f>SUM(C28:C33)</f>
        <v>2510</v>
      </c>
      <c r="D34" s="11">
        <f>SUM(D28:D33)</f>
        <v>1660</v>
      </c>
      <c r="E34" s="11">
        <f>SUM(E28:E33)</f>
        <v>3980</v>
      </c>
      <c r="F34" s="11">
        <f>SUM(F28:F33)</f>
        <v>8150</v>
      </c>
    </row>
    <row r="35" spans="1:6" x14ac:dyDescent="0.25">
      <c r="C35" s="4"/>
      <c r="D35" s="4"/>
      <c r="E35" s="4"/>
      <c r="F35" s="4"/>
    </row>
    <row r="36" spans="1:6" x14ac:dyDescent="0.25">
      <c r="A36" s="7" t="s">
        <v>39</v>
      </c>
      <c r="B36" s="7"/>
      <c r="C36" s="12">
        <f>C10+C18+C26+C34</f>
        <v>7624</v>
      </c>
      <c r="D36" s="12">
        <f>D10+D18+D26+D34</f>
        <v>8931</v>
      </c>
      <c r="E36" s="12">
        <f>E10+E18+E26+E34</f>
        <v>14141</v>
      </c>
      <c r="F36" s="12">
        <f>F10+F18+F26+F34</f>
        <v>30696</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EFF5-064B-4538-AF59-4272E45416CB}">
  <dimension ref="A3:G42"/>
  <sheetViews>
    <sheetView workbookViewId="0">
      <selection activeCell="K7" sqref="K7"/>
    </sheetView>
  </sheetViews>
  <sheetFormatPr defaultRowHeight="15" x14ac:dyDescent="0.25"/>
  <cols>
    <col min="1" max="1" width="17.7109375" bestFit="1" customWidth="1"/>
    <col min="2" max="2" width="16.85546875" bestFit="1" customWidth="1"/>
    <col min="3" max="3" width="8.85546875" bestFit="1" customWidth="1"/>
    <col min="4" max="4" width="6.42578125" bestFit="1" customWidth="1"/>
    <col min="5" max="5" width="11.28515625" bestFit="1" customWidth="1"/>
    <col min="6" max="8" width="8.42578125" bestFit="1" customWidth="1"/>
    <col min="9" max="9" width="9.42578125" bestFit="1" customWidth="1"/>
    <col min="10" max="26" width="8.42578125" bestFit="1" customWidth="1"/>
    <col min="27" max="31" width="9.42578125" bestFit="1" customWidth="1"/>
    <col min="32" max="32" width="11.28515625" bestFit="1" customWidth="1"/>
  </cols>
  <sheetData>
    <row r="3" spans="1:5" x14ac:dyDescent="0.25">
      <c r="A3" s="2" t="s">
        <v>41</v>
      </c>
      <c r="B3" s="2" t="s">
        <v>40</v>
      </c>
    </row>
    <row r="4" spans="1:5" x14ac:dyDescent="0.25">
      <c r="A4" s="2" t="s">
        <v>38</v>
      </c>
      <c r="B4" t="s">
        <v>43</v>
      </c>
      <c r="C4" t="s">
        <v>44</v>
      </c>
      <c r="D4" t="s">
        <v>45</v>
      </c>
      <c r="E4" t="s">
        <v>39</v>
      </c>
    </row>
    <row r="5" spans="1:5" x14ac:dyDescent="0.25">
      <c r="A5" s="3" t="s">
        <v>22</v>
      </c>
      <c r="B5">
        <v>128</v>
      </c>
      <c r="C5">
        <v>725</v>
      </c>
      <c r="D5">
        <v>3425</v>
      </c>
      <c r="E5">
        <v>4278</v>
      </c>
    </row>
    <row r="6" spans="1:5" x14ac:dyDescent="0.25">
      <c r="A6" s="3" t="s">
        <v>29</v>
      </c>
      <c r="B6">
        <v>150</v>
      </c>
      <c r="C6">
        <v>1080</v>
      </c>
      <c r="D6">
        <v>2515</v>
      </c>
      <c r="E6">
        <v>3745</v>
      </c>
    </row>
    <row r="7" spans="1:5" x14ac:dyDescent="0.25">
      <c r="A7" s="3" t="s">
        <v>18</v>
      </c>
      <c r="B7">
        <v>2360</v>
      </c>
      <c r="C7">
        <v>580</v>
      </c>
      <c r="D7">
        <v>1465</v>
      </c>
      <c r="E7">
        <v>4405</v>
      </c>
    </row>
    <row r="8" spans="1:5" x14ac:dyDescent="0.25">
      <c r="A8" s="3" t="s">
        <v>24</v>
      </c>
      <c r="B8">
        <v>1250</v>
      </c>
      <c r="C8">
        <v>588</v>
      </c>
      <c r="D8">
        <v>1100</v>
      </c>
      <c r="E8">
        <v>2938</v>
      </c>
    </row>
    <row r="9" spans="1:5" x14ac:dyDescent="0.25">
      <c r="A9" s="3" t="s">
        <v>15</v>
      </c>
      <c r="B9">
        <v>1260</v>
      </c>
      <c r="C9">
        <v>985</v>
      </c>
      <c r="D9">
        <v>2652</v>
      </c>
      <c r="E9">
        <v>4897</v>
      </c>
    </row>
    <row r="10" spans="1:5" x14ac:dyDescent="0.25">
      <c r="A10" s="3" t="s">
        <v>26</v>
      </c>
      <c r="B10">
        <v>600</v>
      </c>
      <c r="C10">
        <v>1430</v>
      </c>
      <c r="D10">
        <v>352</v>
      </c>
      <c r="E10">
        <v>2382</v>
      </c>
    </row>
    <row r="11" spans="1:5" x14ac:dyDescent="0.25">
      <c r="A11" s="3" t="s">
        <v>31</v>
      </c>
      <c r="B11">
        <v>620</v>
      </c>
      <c r="C11">
        <v>3340</v>
      </c>
      <c r="D11">
        <v>737</v>
      </c>
      <c r="E11">
        <v>4697</v>
      </c>
    </row>
    <row r="12" spans="1:5" x14ac:dyDescent="0.25">
      <c r="A12" s="3" t="s">
        <v>34</v>
      </c>
      <c r="B12">
        <v>1256</v>
      </c>
      <c r="C12">
        <v>203</v>
      </c>
      <c r="D12">
        <v>1895</v>
      </c>
      <c r="E12">
        <v>3354</v>
      </c>
    </row>
    <row r="13" spans="1:5" x14ac:dyDescent="0.25">
      <c r="A13" s="3" t="s">
        <v>39</v>
      </c>
      <c r="B13">
        <v>7624</v>
      </c>
      <c r="C13">
        <v>8931</v>
      </c>
      <c r="D13">
        <v>14141</v>
      </c>
      <c r="E13">
        <v>30696</v>
      </c>
    </row>
    <row r="34" spans="1:7" ht="15.75" x14ac:dyDescent="0.25">
      <c r="A34" s="13" t="s">
        <v>65</v>
      </c>
    </row>
    <row r="36" spans="1:7" x14ac:dyDescent="0.25">
      <c r="A36" s="7" t="s">
        <v>10</v>
      </c>
      <c r="B36" s="7" t="s">
        <v>43</v>
      </c>
      <c r="C36" s="7" t="s">
        <v>44</v>
      </c>
      <c r="D36" s="7" t="s">
        <v>45</v>
      </c>
      <c r="E36" s="7" t="s">
        <v>57</v>
      </c>
      <c r="F36" s="7" t="s">
        <v>62</v>
      </c>
      <c r="G36" s="7" t="s">
        <v>63</v>
      </c>
    </row>
    <row r="37" spans="1:7" x14ac:dyDescent="0.25">
      <c r="A37" t="s">
        <v>21</v>
      </c>
      <c r="B37" s="14">
        <v>748</v>
      </c>
      <c r="C37" s="14">
        <v>4065</v>
      </c>
      <c r="D37" s="14">
        <v>4162</v>
      </c>
      <c r="E37" t="s">
        <v>66</v>
      </c>
      <c r="F37" s="14" t="s">
        <v>67</v>
      </c>
      <c r="G37" t="s">
        <v>67</v>
      </c>
    </row>
    <row r="38" spans="1:7" x14ac:dyDescent="0.25">
      <c r="A38" t="s">
        <v>17</v>
      </c>
      <c r="B38" s="14">
        <v>2510</v>
      </c>
      <c r="C38" s="14">
        <v>1660</v>
      </c>
      <c r="D38" s="14">
        <v>3980</v>
      </c>
      <c r="E38" t="s">
        <v>68</v>
      </c>
      <c r="F38" s="25">
        <v>-850</v>
      </c>
      <c r="G38" s="21">
        <v>-0.33860000000000001</v>
      </c>
    </row>
    <row r="39" spans="1:7" x14ac:dyDescent="0.25">
      <c r="A39" t="s">
        <v>14</v>
      </c>
      <c r="B39" s="14">
        <v>1860</v>
      </c>
      <c r="C39" s="14">
        <v>2415</v>
      </c>
      <c r="D39" s="14">
        <v>3604</v>
      </c>
      <c r="E39" t="s">
        <v>66</v>
      </c>
      <c r="F39" s="14" t="s">
        <v>67</v>
      </c>
      <c r="G39" t="s">
        <v>67</v>
      </c>
    </row>
    <row r="40" spans="1:7" x14ac:dyDescent="0.25">
      <c r="A40" s="22" t="s">
        <v>23</v>
      </c>
      <c r="B40" s="24">
        <v>2506</v>
      </c>
      <c r="C40" s="24">
        <v>791</v>
      </c>
      <c r="D40" s="24">
        <v>2395</v>
      </c>
      <c r="E40" s="22" t="s">
        <v>68</v>
      </c>
      <c r="F40" s="26">
        <v>-1715</v>
      </c>
      <c r="G40" s="23">
        <v>-0.68440000000000001</v>
      </c>
    </row>
    <row r="42" spans="1:7" x14ac:dyDescent="0.25">
      <c r="A42" s="5" t="s">
        <v>69</v>
      </c>
      <c r="B42" t="s">
        <v>68</v>
      </c>
      <c r="C42" s="27" t="s">
        <v>61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SalesData</vt:lpstr>
      <vt:lpstr>SalesSummary</vt:lpstr>
      <vt:lpstr>SalesByCategory</vt:lpstr>
      <vt:lpstr>PivotSales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 Publishing</dc:creator>
  <cp:lastModifiedBy>GTM Publishing</cp:lastModifiedBy>
  <dcterms:created xsi:type="dcterms:W3CDTF">2026-04-18T06:36:20Z</dcterms:created>
  <dcterms:modified xsi:type="dcterms:W3CDTF">2026-05-29T14:26:03Z</dcterms:modified>
</cp:coreProperties>
</file>