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Rafiul Haq\Desktop\Exceldemy\55-0147\"/>
    </mc:Choice>
  </mc:AlternateContent>
  <xr:revisionPtr revIDLastSave="0" documentId="13_ncr:1_{CB70319B-FEB0-4188-A30C-4F93585A3F30}" xr6:coauthVersionLast="47" xr6:coauthVersionMax="47" xr10:uidLastSave="{00000000-0000-0000-0000-000000000000}"/>
  <bookViews>
    <workbookView xWindow="810" yWindow="-120" windowWidth="28110" windowHeight="16440" xr2:uid="{00000000-000D-0000-FFFF-FFFF00000000}"/>
  </bookViews>
  <sheets>
    <sheet name="Problem" sheetId="7" r:id="rId1"/>
    <sheet name="Reference" sheetId="6" r:id="rId2"/>
    <sheet name="Solution" sheetId="5" r:id="rId3"/>
  </sheets>
  <definedNames>
    <definedName name="solver_adj" localSheetId="0" hidden="1">Problem!$D$15:$F$20</definedName>
    <definedName name="solver_cvg" localSheetId="0" hidden="1">0.0001</definedName>
    <definedName name="solver_cvg" localSheetId="2" hidden="1">0.0001</definedName>
    <definedName name="solver_drv" localSheetId="0" hidden="1">1</definedName>
    <definedName name="solver_drv" localSheetId="2" hidden="1">1</definedName>
    <definedName name="solver_eng" localSheetId="0" hidden="1">2</definedName>
    <definedName name="solver_eng" localSheetId="1" hidden="1">1</definedName>
    <definedName name="solver_eng" localSheetId="2" hidden="1">3</definedName>
    <definedName name="solver_est" localSheetId="0" hidden="1">1</definedName>
    <definedName name="solver_est" localSheetId="2" hidden="1">1</definedName>
    <definedName name="solver_itr" localSheetId="0" hidden="1">2147483647</definedName>
    <definedName name="solver_itr" localSheetId="2" hidden="1">2147483647</definedName>
    <definedName name="solver_lhs1" localSheetId="0" hidden="1">Problem!$C$15:$C$20</definedName>
    <definedName name="solver_lhs1" localSheetId="2" hidden="1">Solution!$C$140:$C$179</definedName>
    <definedName name="solver_lhs2" localSheetId="0" hidden="1">Problem!$D$25:$F$25</definedName>
    <definedName name="solver_lhs2" localSheetId="2" hidden="1">Solution!$C$140:$C$179</definedName>
    <definedName name="solver_lhs3" localSheetId="0" hidden="1">Problem!$F$32:$F$34</definedName>
    <definedName name="solver_lhs3" localSheetId="2" hidden="1">Solution!$C$140:$C$179</definedName>
    <definedName name="solver_lhs4" localSheetId="0" hidden="1">Problem!$Q$141:$Q$144</definedName>
    <definedName name="solver_lhs4" localSheetId="2" hidden="1">Solution!$Q$141:$Q$144</definedName>
    <definedName name="solver_lhs5" localSheetId="0" hidden="1">Problem!$F$132</definedName>
    <definedName name="solver_lhs5" localSheetId="2" hidden="1">Solution!$F$132</definedName>
    <definedName name="solver_lin" localSheetId="0" hidden="1">2</definedName>
    <definedName name="solver_lin" localSheetId="2" hidden="1">2</definedName>
    <definedName name="solver_mip" localSheetId="0" hidden="1">2147483647</definedName>
    <definedName name="solver_mip" localSheetId="2" hidden="1">2147483647</definedName>
    <definedName name="solver_mni" localSheetId="0" hidden="1">30</definedName>
    <definedName name="solver_mni" localSheetId="2" hidden="1">30</definedName>
    <definedName name="solver_mrt" localSheetId="0" hidden="1">0.075</definedName>
    <definedName name="solver_mrt" localSheetId="2" hidden="1">0.075</definedName>
    <definedName name="solver_msl" localSheetId="0" hidden="1">2</definedName>
    <definedName name="solver_msl" localSheetId="2" hidden="1">2</definedName>
    <definedName name="solver_neg" localSheetId="0" hidden="1">1</definedName>
    <definedName name="solver_neg" localSheetId="1" hidden="1">1</definedName>
    <definedName name="solver_neg" localSheetId="2" hidden="1">1</definedName>
    <definedName name="solver_nod" localSheetId="0" hidden="1">2147483647</definedName>
    <definedName name="solver_nod" localSheetId="2" hidden="1">2147483647</definedName>
    <definedName name="solver_num" localSheetId="0" hidden="1">2</definedName>
    <definedName name="solver_num" localSheetId="1" hidden="1">0</definedName>
    <definedName name="solver_num" localSheetId="2" hidden="1">0</definedName>
    <definedName name="solver_nwt" localSheetId="0" hidden="1">1</definedName>
    <definedName name="solver_nwt" localSheetId="2" hidden="1">1</definedName>
    <definedName name="solver_opt" localSheetId="0" hidden="1">Problem!$G$27</definedName>
    <definedName name="solver_opt" localSheetId="1" hidden="1">Reference!$B$54</definedName>
    <definedName name="solver_pre" localSheetId="0" hidden="1">0.000001</definedName>
    <definedName name="solver_pre" localSheetId="2" hidden="1">0.000001</definedName>
    <definedName name="solver_rbv" localSheetId="0" hidden="1">1</definedName>
    <definedName name="solver_rbv" localSheetId="2" hidden="1">1</definedName>
    <definedName name="solver_rel1" localSheetId="0" hidden="1">2</definedName>
    <definedName name="solver_rel1" localSheetId="2" hidden="1">1</definedName>
    <definedName name="solver_rel2" localSheetId="0" hidden="1">3</definedName>
    <definedName name="solver_rel2" localSheetId="2" hidden="1">4</definedName>
    <definedName name="solver_rel3" localSheetId="0" hidden="1">1</definedName>
    <definedName name="solver_rel3" localSheetId="2" hidden="1">3</definedName>
    <definedName name="solver_rel4" localSheetId="0" hidden="1">2</definedName>
    <definedName name="solver_rel4" localSheetId="2" hidden="1">2</definedName>
    <definedName name="solver_rel5" localSheetId="0" hidden="1">3</definedName>
    <definedName name="solver_rel5" localSheetId="2" hidden="1">3</definedName>
    <definedName name="solver_rhs1" localSheetId="0" hidden="1">Problem!$G$15:$G$20</definedName>
    <definedName name="solver_rhs1" localSheetId="2" hidden="1">4</definedName>
    <definedName name="solver_rhs2" localSheetId="0" hidden="1">0</definedName>
    <definedName name="solver_rhs2" localSheetId="2" hidden="1">"integer"</definedName>
    <definedName name="solver_rhs3" localSheetId="0" hidden="1">Problem!$H$32:$H$34</definedName>
    <definedName name="solver_rhs3" localSheetId="2" hidden="1">1</definedName>
    <definedName name="solver_rhs4" localSheetId="0" hidden="1">0</definedName>
    <definedName name="solver_rhs4" localSheetId="2" hidden="1">0</definedName>
    <definedName name="solver_rhs5" localSheetId="0" hidden="1">0.15</definedName>
    <definedName name="solver_rhs5" localSheetId="2" hidden="1">0.15</definedName>
    <definedName name="solver_rlx" localSheetId="0" hidden="1">2</definedName>
    <definedName name="solver_rlx" localSheetId="2" hidden="1">2</definedName>
    <definedName name="solver_rsd" localSheetId="0" hidden="1">0</definedName>
    <definedName name="solver_rsd" localSheetId="2" hidden="1">0</definedName>
    <definedName name="solver_scl" localSheetId="0" hidden="1">1</definedName>
    <definedName name="solver_scl" localSheetId="2" hidden="1">1</definedName>
    <definedName name="solver_sho" localSheetId="0" hidden="1">2</definedName>
    <definedName name="solver_sho" localSheetId="2" hidden="1">2</definedName>
    <definedName name="solver_ssz" localSheetId="0" hidden="1">100</definedName>
    <definedName name="solver_ssz" localSheetId="2" hidden="1">100</definedName>
    <definedName name="solver_tim" localSheetId="0" hidden="1">2147483647</definedName>
    <definedName name="solver_tim" localSheetId="2" hidden="1">2147483647</definedName>
    <definedName name="solver_tol" localSheetId="0" hidden="1">0.01</definedName>
    <definedName name="solver_tol" localSheetId="2" hidden="1">0.01</definedName>
    <definedName name="solver_typ" localSheetId="0" hidden="1">2</definedName>
    <definedName name="solver_typ" localSheetId="1" hidden="1">1</definedName>
    <definedName name="solver_typ" localSheetId="2" hidden="1">1</definedName>
    <definedName name="solver_val" localSheetId="0" hidden="1">0</definedName>
    <definedName name="solver_val" localSheetId="1" hidden="1">0</definedName>
    <definedName name="solver_val" localSheetId="2" hidden="1">0</definedName>
    <definedName name="solver_ver" localSheetId="0" hidden="1">3</definedName>
    <definedName name="solver_ver" localSheetId="1" hidden="1">3</definedName>
    <definedName name="solver_ver" localSheetId="2"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27" i="7" l="1"/>
  <c r="E27" i="7"/>
  <c r="D27" i="7"/>
  <c r="F21" i="7"/>
  <c r="E21" i="7"/>
  <c r="D21" i="7"/>
  <c r="D25" i="7" s="1"/>
  <c r="B72" i="6"/>
  <c r="B71" i="6"/>
  <c r="B70" i="6" a="1"/>
  <c r="B70" i="6" s="1"/>
  <c r="B69" i="6" a="1"/>
  <c r="B69" i="6"/>
  <c r="B68" i="6" a="1"/>
  <c r="B68" i="6"/>
  <c r="B67" i="6" a="1"/>
  <c r="B67" i="6" s="1"/>
  <c r="B66" i="6"/>
  <c r="B65" i="6"/>
  <c r="B62" i="6"/>
  <c r="B61" i="6"/>
  <c r="B60" i="6"/>
  <c r="B59" i="6"/>
  <c r="B58" i="6"/>
  <c r="B57" i="6"/>
  <c r="B56" i="6"/>
  <c r="B55" i="6"/>
  <c r="B54" i="6"/>
  <c r="B50" i="6"/>
  <c r="B49" i="6"/>
  <c r="B48" i="6" a="1"/>
  <c r="B48" i="6"/>
  <c r="B47" i="6" a="1"/>
  <c r="B47" i="6" s="1"/>
  <c r="B46" i="6"/>
  <c r="B45" i="6"/>
  <c r="B43" i="6"/>
  <c r="B42" i="6"/>
  <c r="B41" i="6" a="1"/>
  <c r="B41" i="6"/>
  <c r="B40" i="6" a="1"/>
  <c r="B40" i="6" s="1"/>
  <c r="B39" i="6"/>
  <c r="B38" i="6"/>
  <c r="B35" i="6"/>
  <c r="B34" i="6"/>
  <c r="B33" i="6"/>
  <c r="B32" i="6" a="1"/>
  <c r="B32" i="6"/>
  <c r="B31" i="6"/>
  <c r="B30" i="6"/>
  <c r="B28" i="6"/>
  <c r="B27" i="6"/>
  <c r="B26" i="6"/>
  <c r="B25" i="6" a="1"/>
  <c r="B25" i="6"/>
  <c r="B24" i="6"/>
  <c r="B23" i="6"/>
  <c r="B22" i="6"/>
  <c r="B21" i="6"/>
  <c r="B20" i="6"/>
  <c r="B18" i="6"/>
  <c r="B17" i="6"/>
  <c r="B16" i="6" a="1"/>
  <c r="B16" i="6" s="1"/>
  <c r="B15" i="6" a="1"/>
  <c r="B15" i="6"/>
  <c r="B14" i="6" a="1"/>
  <c r="B14" i="6"/>
  <c r="B13" i="6"/>
  <c r="B12" i="6"/>
  <c r="B10" i="6"/>
  <c r="B9" i="6"/>
  <c r="B8" i="6" a="1"/>
  <c r="B8" i="6"/>
  <c r="B7" i="6" a="1"/>
  <c r="B7" i="6"/>
  <c r="B6" i="6"/>
  <c r="B5" i="6"/>
  <c r="M179" i="7"/>
  <c r="L179" i="7"/>
  <c r="M178" i="7"/>
  <c r="L178" i="7"/>
  <c r="M177" i="7"/>
  <c r="L177" i="7"/>
  <c r="M176" i="7"/>
  <c r="L176" i="7"/>
  <c r="M175" i="7"/>
  <c r="L175" i="7"/>
  <c r="M174" i="7"/>
  <c r="L174" i="7"/>
  <c r="M173" i="7"/>
  <c r="L173" i="7"/>
  <c r="M172" i="7"/>
  <c r="L172" i="7"/>
  <c r="M171" i="7"/>
  <c r="L171" i="7"/>
  <c r="M170" i="7"/>
  <c r="L170" i="7"/>
  <c r="M169" i="7"/>
  <c r="L169" i="7"/>
  <c r="M168" i="7"/>
  <c r="L168" i="7"/>
  <c r="M167" i="7"/>
  <c r="L167" i="7"/>
  <c r="M166" i="7"/>
  <c r="L166" i="7"/>
  <c r="M165" i="7"/>
  <c r="L165" i="7"/>
  <c r="M164" i="7"/>
  <c r="L164" i="7"/>
  <c r="M163" i="7"/>
  <c r="L163" i="7"/>
  <c r="M162" i="7"/>
  <c r="L162" i="7"/>
  <c r="M161" i="7"/>
  <c r="L161" i="7"/>
  <c r="M160" i="7"/>
  <c r="L160" i="7"/>
  <c r="M159" i="7"/>
  <c r="L159" i="7"/>
  <c r="M158" i="7"/>
  <c r="L158" i="7"/>
  <c r="M157" i="7"/>
  <c r="L157" i="7"/>
  <c r="M156" i="7"/>
  <c r="L156" i="7"/>
  <c r="M155" i="7"/>
  <c r="L155" i="7"/>
  <c r="M154" i="7"/>
  <c r="L154" i="7"/>
  <c r="M153" i="7"/>
  <c r="L153" i="7"/>
  <c r="M152" i="7"/>
  <c r="L152" i="7"/>
  <c r="M151" i="7"/>
  <c r="L151" i="7"/>
  <c r="M150" i="7"/>
  <c r="L150" i="7"/>
  <c r="M149" i="7"/>
  <c r="L149" i="7"/>
  <c r="M148" i="7"/>
  <c r="L148" i="7"/>
  <c r="M147" i="7"/>
  <c r="L147" i="7"/>
  <c r="M146" i="7"/>
  <c r="L146" i="7"/>
  <c r="M145" i="7"/>
  <c r="L145" i="7"/>
  <c r="P144" i="7"/>
  <c r="Q144" i="7" s="1"/>
  <c r="M144" i="7"/>
  <c r="L144" i="7"/>
  <c r="P143" i="7"/>
  <c r="Q143" i="7" s="1"/>
  <c r="M143" i="7"/>
  <c r="L143" i="7"/>
  <c r="P142" i="7"/>
  <c r="Q142" i="7" s="1"/>
  <c r="M142" i="7"/>
  <c r="L142" i="7"/>
  <c r="P141" i="7"/>
  <c r="Q141" i="7" s="1"/>
  <c r="M141" i="7"/>
  <c r="L141" i="7"/>
  <c r="M140" i="7"/>
  <c r="P146" i="7" s="1"/>
  <c r="L140" i="7"/>
  <c r="C132" i="7"/>
  <c r="E130" i="7"/>
  <c r="D130" i="7"/>
  <c r="F130" i="7" s="1"/>
  <c r="F129" i="7"/>
  <c r="E129" i="7"/>
  <c r="F128" i="7"/>
  <c r="E128" i="7"/>
  <c r="F127" i="7"/>
  <c r="E127" i="7"/>
  <c r="F126" i="7"/>
  <c r="E126" i="7"/>
  <c r="F125" i="7"/>
  <c r="F132" i="7" s="1"/>
  <c r="E125" i="7"/>
  <c r="D117" i="7"/>
  <c r="C117" i="7"/>
  <c r="C104" i="7"/>
  <c r="C100" i="7"/>
  <c r="J96" i="7"/>
  <c r="I96" i="7"/>
  <c r="H96" i="7"/>
  <c r="G96" i="7"/>
  <c r="F96" i="7"/>
  <c r="E96" i="7"/>
  <c r="D96" i="7"/>
  <c r="H83" i="7"/>
  <c r="G83" i="7"/>
  <c r="C83" i="7"/>
  <c r="I82" i="7"/>
  <c r="J82" i="7" s="1"/>
  <c r="G82" i="7"/>
  <c r="E82" i="7"/>
  <c r="I81" i="7"/>
  <c r="J81" i="7" s="1"/>
  <c r="G81" i="7"/>
  <c r="E81" i="7"/>
  <c r="I80" i="7"/>
  <c r="J80" i="7" s="1"/>
  <c r="G80" i="7"/>
  <c r="E80" i="7"/>
  <c r="I79" i="7"/>
  <c r="J79" i="7" s="1"/>
  <c r="G79" i="7"/>
  <c r="E79" i="7"/>
  <c r="I78" i="7"/>
  <c r="J78" i="7" s="1"/>
  <c r="G78" i="7"/>
  <c r="E78" i="7"/>
  <c r="I77" i="7"/>
  <c r="J77" i="7" s="1"/>
  <c r="G77" i="7"/>
  <c r="E77" i="7"/>
  <c r="I76" i="7"/>
  <c r="J76" i="7" s="1"/>
  <c r="G76" i="7"/>
  <c r="E76" i="7"/>
  <c r="I75" i="7"/>
  <c r="J75" i="7" s="1"/>
  <c r="G75" i="7"/>
  <c r="E75" i="7"/>
  <c r="I74" i="7"/>
  <c r="J74" i="7" s="1"/>
  <c r="G74" i="7"/>
  <c r="E74" i="7"/>
  <c r="I73" i="7"/>
  <c r="J73" i="7" s="1"/>
  <c r="G73" i="7"/>
  <c r="E73" i="7"/>
  <c r="I72" i="7"/>
  <c r="J72" i="7" s="1"/>
  <c r="G72" i="7"/>
  <c r="E72" i="7"/>
  <c r="I71" i="7"/>
  <c r="I83" i="7" s="1"/>
  <c r="G71" i="7"/>
  <c r="E71" i="7"/>
  <c r="E83" i="7" s="1"/>
  <c r="C65" i="7"/>
  <c r="E64" i="7"/>
  <c r="E63" i="7"/>
  <c r="E62" i="7"/>
  <c r="E61" i="7"/>
  <c r="E60" i="7"/>
  <c r="E59" i="7"/>
  <c r="E58" i="7"/>
  <c r="E57" i="7"/>
  <c r="E56" i="7"/>
  <c r="E55" i="7"/>
  <c r="E54" i="7"/>
  <c r="E53" i="7"/>
  <c r="E52" i="7"/>
  <c r="E51" i="7"/>
  <c r="E50" i="7"/>
  <c r="E49" i="7"/>
  <c r="E48" i="7"/>
  <c r="E65" i="7" s="1"/>
  <c r="E43" i="7"/>
  <c r="C43" i="7"/>
  <c r="E41" i="7"/>
  <c r="D41" i="7"/>
  <c r="C41" i="7"/>
  <c r="E35" i="7"/>
  <c r="D35" i="7"/>
  <c r="I37" i="7" s="1"/>
  <c r="I39" i="7" s="1"/>
  <c r="C35" i="7"/>
  <c r="F34" i="7"/>
  <c r="F33" i="7"/>
  <c r="F32" i="7"/>
  <c r="I38" i="7" s="1"/>
  <c r="F25" i="7"/>
  <c r="E25" i="7"/>
  <c r="C21" i="7"/>
  <c r="G20" i="7"/>
  <c r="G19" i="7"/>
  <c r="G18" i="7"/>
  <c r="G17" i="7"/>
  <c r="G16" i="7"/>
  <c r="G15" i="7"/>
  <c r="F34" i="5"/>
  <c r="F33" i="5"/>
  <c r="F32" i="5"/>
  <c r="E41" i="5"/>
  <c r="D41" i="5"/>
  <c r="C41" i="5"/>
  <c r="C35" i="5"/>
  <c r="D35" i="5"/>
  <c r="D43" i="5" s="1"/>
  <c r="E35" i="5"/>
  <c r="E43" i="5" s="1"/>
  <c r="G27" i="7" l="1"/>
  <c r="G21" i="7"/>
  <c r="D43" i="7"/>
  <c r="J71" i="7"/>
  <c r="J83" i="7" s="1"/>
  <c r="I37" i="5"/>
  <c r="C43" i="5"/>
  <c r="I38" i="5"/>
  <c r="I39" i="5" l="1"/>
  <c r="L148" i="5" l="1"/>
  <c r="M144" i="5"/>
  <c r="M143" i="5"/>
  <c r="L142" i="5"/>
  <c r="M140" i="5"/>
  <c r="L140" i="5"/>
  <c r="P142" i="5"/>
  <c r="Q142" i="5" s="1"/>
  <c r="P143" i="5"/>
  <c r="Q143" i="5" s="1"/>
  <c r="P144" i="5"/>
  <c r="Q144" i="5" s="1"/>
  <c r="P141" i="5"/>
  <c r="Q141" i="5" s="1"/>
  <c r="L141" i="5"/>
  <c r="M141" i="5"/>
  <c r="M142" i="5"/>
  <c r="L143" i="5"/>
  <c r="L144" i="5"/>
  <c r="L145" i="5"/>
  <c r="M145" i="5"/>
  <c r="L146" i="5"/>
  <c r="M146" i="5"/>
  <c r="L147" i="5"/>
  <c r="M147" i="5"/>
  <c r="M148" i="5"/>
  <c r="L149" i="5"/>
  <c r="M149" i="5"/>
  <c r="L150" i="5"/>
  <c r="M150" i="5"/>
  <c r="L151" i="5"/>
  <c r="M151" i="5"/>
  <c r="L152" i="5"/>
  <c r="M152" i="5"/>
  <c r="L153" i="5"/>
  <c r="M153" i="5"/>
  <c r="L154" i="5"/>
  <c r="M154" i="5"/>
  <c r="L155" i="5"/>
  <c r="M155" i="5"/>
  <c r="L156" i="5"/>
  <c r="M156" i="5"/>
  <c r="L157" i="5"/>
  <c r="M157" i="5"/>
  <c r="L158" i="5"/>
  <c r="M158" i="5"/>
  <c r="L159" i="5"/>
  <c r="M159" i="5"/>
  <c r="L160" i="5"/>
  <c r="M160" i="5"/>
  <c r="L161" i="5"/>
  <c r="M161" i="5"/>
  <c r="L162" i="5"/>
  <c r="M162" i="5"/>
  <c r="L163" i="5"/>
  <c r="M163" i="5"/>
  <c r="L164" i="5"/>
  <c r="M164" i="5"/>
  <c r="L165" i="5"/>
  <c r="M165" i="5"/>
  <c r="L166" i="5"/>
  <c r="M166" i="5"/>
  <c r="L167" i="5"/>
  <c r="M167" i="5"/>
  <c r="L168" i="5"/>
  <c r="M168" i="5"/>
  <c r="L169" i="5"/>
  <c r="M169" i="5"/>
  <c r="L170" i="5"/>
  <c r="M170" i="5"/>
  <c r="L171" i="5"/>
  <c r="M171" i="5"/>
  <c r="L172" i="5"/>
  <c r="M172" i="5"/>
  <c r="L173" i="5"/>
  <c r="M173" i="5"/>
  <c r="L174" i="5"/>
  <c r="M174" i="5"/>
  <c r="L175" i="5"/>
  <c r="M175" i="5"/>
  <c r="L176" i="5"/>
  <c r="M176" i="5"/>
  <c r="L177" i="5"/>
  <c r="M177" i="5"/>
  <c r="L178" i="5"/>
  <c r="M178" i="5"/>
  <c r="L179" i="5"/>
  <c r="M179" i="5"/>
  <c r="P146" i="5" l="1"/>
  <c r="D130" i="5"/>
  <c r="F125" i="5" s="1"/>
  <c r="E129" i="5"/>
  <c r="E128" i="5"/>
  <c r="E127" i="5"/>
  <c r="E126" i="5"/>
  <c r="E125" i="5"/>
  <c r="F127" i="5" l="1"/>
  <c r="E130" i="5"/>
  <c r="C132" i="5" s="1"/>
  <c r="F130" i="5"/>
  <c r="F129" i="5"/>
  <c r="F128" i="5"/>
  <c r="F126" i="5"/>
  <c r="F132" i="5" s="1"/>
  <c r="D117" i="5" l="1"/>
  <c r="C117" i="5"/>
  <c r="C104" i="5"/>
  <c r="C100" i="5"/>
  <c r="J96" i="5"/>
  <c r="I96" i="5"/>
  <c r="F96" i="5"/>
  <c r="G96" i="5"/>
  <c r="H96" i="5"/>
  <c r="E96" i="5"/>
  <c r="D96" i="5"/>
  <c r="E76" i="5" l="1"/>
  <c r="E77" i="5"/>
  <c r="E78" i="5"/>
  <c r="E79" i="5"/>
  <c r="E80" i="5"/>
  <c r="E81" i="5"/>
  <c r="E82" i="5"/>
  <c r="G76" i="5"/>
  <c r="G77" i="5"/>
  <c r="G78" i="5"/>
  <c r="G79" i="5"/>
  <c r="G80" i="5"/>
  <c r="G81" i="5"/>
  <c r="G82" i="5"/>
  <c r="I76" i="5"/>
  <c r="J76" i="5" s="1"/>
  <c r="I77" i="5"/>
  <c r="J77" i="5" s="1"/>
  <c r="I78" i="5"/>
  <c r="J78" i="5" s="1"/>
  <c r="I79" i="5"/>
  <c r="J79" i="5" s="1"/>
  <c r="I80" i="5"/>
  <c r="J80" i="5" s="1"/>
  <c r="I81" i="5"/>
  <c r="J81" i="5" s="1"/>
  <c r="I82" i="5"/>
  <c r="J82" i="5" s="1"/>
  <c r="H83" i="5"/>
  <c r="C83" i="5"/>
  <c r="I75" i="5"/>
  <c r="J75" i="5" s="1"/>
  <c r="G75" i="5"/>
  <c r="E75" i="5"/>
  <c r="I74" i="5"/>
  <c r="J74" i="5" s="1"/>
  <c r="G74" i="5"/>
  <c r="E74" i="5"/>
  <c r="I73" i="5"/>
  <c r="J73" i="5" s="1"/>
  <c r="G73" i="5"/>
  <c r="E73" i="5"/>
  <c r="I72" i="5"/>
  <c r="J72" i="5" s="1"/>
  <c r="G72" i="5"/>
  <c r="E72" i="5"/>
  <c r="I71" i="5"/>
  <c r="J71" i="5" s="1"/>
  <c r="G71" i="5"/>
  <c r="E71" i="5"/>
  <c r="J83" i="5" l="1"/>
  <c r="I83" i="5"/>
  <c r="G83" i="5"/>
  <c r="E83" i="5"/>
  <c r="E62" i="5"/>
  <c r="E63" i="5"/>
  <c r="E64" i="5"/>
  <c r="C65" i="5"/>
  <c r="E57" i="5"/>
  <c r="E58" i="5"/>
  <c r="E59" i="5"/>
  <c r="E60" i="5"/>
  <c r="E51" i="5"/>
  <c r="E52" i="5"/>
  <c r="E53" i="5"/>
  <c r="E54" i="5"/>
  <c r="E55" i="5"/>
  <c r="E56" i="5"/>
  <c r="E61" i="5"/>
  <c r="E50" i="5"/>
  <c r="E49" i="5"/>
  <c r="E48" i="5"/>
  <c r="E65" i="5" l="1"/>
  <c r="F27" i="5" l="1"/>
  <c r="E27" i="5"/>
  <c r="D27" i="5"/>
  <c r="F21" i="5"/>
  <c r="F25" i="5" s="1"/>
  <c r="E21" i="5"/>
  <c r="E25" i="5" s="1"/>
  <c r="D21" i="5"/>
  <c r="D25" i="5" s="1"/>
  <c r="C21" i="5"/>
  <c r="G20" i="5"/>
  <c r="G19" i="5"/>
  <c r="G18" i="5"/>
  <c r="G17" i="5"/>
  <c r="G16" i="5"/>
  <c r="G15" i="5"/>
  <c r="G21" i="5" l="1"/>
  <c r="G27" i="5"/>
</calcChain>
</file>

<file path=xl/sharedStrings.xml><?xml version="1.0" encoding="utf-8"?>
<sst xmlns="http://schemas.openxmlformats.org/spreadsheetml/2006/main" count="355" uniqueCount="143">
  <si>
    <t>Excel Solver Exercises</t>
  </si>
  <si>
    <t>Locations</t>
  </si>
  <si>
    <t>L.A.</t>
  </si>
  <si>
    <t>St. Louis</t>
  </si>
  <si>
    <t>Boston</t>
  </si>
  <si>
    <t>Denver</t>
  </si>
  <si>
    <t>Houston</t>
  </si>
  <si>
    <t>Atlanta</t>
  </si>
  <si>
    <t>Miami</t>
  </si>
  <si>
    <t>Seattle</t>
  </si>
  <si>
    <t>Detroit</t>
  </si>
  <si>
    <t>Store</t>
  </si>
  <si>
    <t>Number Needed</t>
  </si>
  <si>
    <t>No. to ship from...</t>
  </si>
  <si>
    <t>No. to be Shipped</t>
  </si>
  <si>
    <t>Total</t>
  </si>
  <si>
    <t>Warehouse Inventory</t>
  </si>
  <si>
    <t>Starting Inventory:</t>
  </si>
  <si>
    <t>No. Remaining:</t>
  </si>
  <si>
    <t>Shipping Costs:</t>
  </si>
  <si>
    <t>Exercise 01 Minimize Shipping Cost:</t>
  </si>
  <si>
    <t>Process</t>
  </si>
  <si>
    <t>Regular</t>
  </si>
  <si>
    <t>Exclusive</t>
  </si>
  <si>
    <t>Super</t>
  </si>
  <si>
    <t>Usage</t>
  </si>
  <si>
    <t>Availability (Tons)</t>
  </si>
  <si>
    <t>Raw Cost</t>
  </si>
  <si>
    <t>Raw Rating</t>
  </si>
  <si>
    <t>≤</t>
  </si>
  <si>
    <t>Steel Produced</t>
  </si>
  <si>
    <t>≥</t>
  </si>
  <si>
    <t>Req. Production (Tons)</t>
  </si>
  <si>
    <t>Revenue</t>
  </si>
  <si>
    <t>Price</t>
  </si>
  <si>
    <t>Production Cost</t>
  </si>
  <si>
    <t>Minimum Rating</t>
  </si>
  <si>
    <t>Profit</t>
  </si>
  <si>
    <t>Linearized Rating</t>
  </si>
  <si>
    <t>Exercise 02 Minimize Production Cost:</t>
  </si>
  <si>
    <t>Products</t>
  </si>
  <si>
    <t>Units</t>
  </si>
  <si>
    <t>Profit/Unit</t>
  </si>
  <si>
    <t>Product A</t>
  </si>
  <si>
    <t>Product B</t>
  </si>
  <si>
    <t>Product C</t>
  </si>
  <si>
    <t>Exercise 03 Maximize Profit of Products:</t>
  </si>
  <si>
    <t>Product D</t>
  </si>
  <si>
    <t>Product E</t>
  </si>
  <si>
    <t>Product F</t>
  </si>
  <si>
    <t>Product G</t>
  </si>
  <si>
    <t>Product H</t>
  </si>
  <si>
    <t>Product I</t>
  </si>
  <si>
    <t>Product J</t>
  </si>
  <si>
    <t>Product K</t>
  </si>
  <si>
    <t>Product L</t>
  </si>
  <si>
    <t>Product M</t>
  </si>
  <si>
    <t>Product N</t>
  </si>
  <si>
    <t>Product O</t>
  </si>
  <si>
    <t>Product P</t>
  </si>
  <si>
    <t>Product Q</t>
  </si>
  <si>
    <t>Current</t>
  </si>
  <si>
    <t>Solver</t>
  </si>
  <si>
    <t>Source</t>
  </si>
  <si>
    <t>Clicks</t>
  </si>
  <si>
    <t>CPC</t>
  </si>
  <si>
    <t>Total Cost</t>
  </si>
  <si>
    <t>Conversion Rate</t>
  </si>
  <si>
    <t>Conversions</t>
  </si>
  <si>
    <t>Solver Budget</t>
  </si>
  <si>
    <t>Google</t>
  </si>
  <si>
    <t>Facebook</t>
  </si>
  <si>
    <t>MSN</t>
  </si>
  <si>
    <t>WSJ</t>
  </si>
  <si>
    <t>Yahoo</t>
  </si>
  <si>
    <t>Exercise 04 Marketing Budget Allocation:</t>
  </si>
  <si>
    <t>Twitter</t>
  </si>
  <si>
    <t>Reddit</t>
  </si>
  <si>
    <t>Instagram</t>
  </si>
  <si>
    <t>Snapchat</t>
  </si>
  <si>
    <t>TikTok</t>
  </si>
  <si>
    <t>Discord</t>
  </si>
  <si>
    <t>Exercise 03</t>
  </si>
  <si>
    <t>Exercise 04</t>
  </si>
  <si>
    <t>Objective</t>
  </si>
  <si>
    <t>Monday</t>
  </si>
  <si>
    <t>Tuesday</t>
  </si>
  <si>
    <t>Wednesday</t>
  </si>
  <si>
    <t>Thursday</t>
  </si>
  <si>
    <t>Friday</t>
  </si>
  <si>
    <t>Saturday</t>
  </si>
  <si>
    <t>Sunday</t>
  </si>
  <si>
    <t xml:space="preserve">Total Number </t>
  </si>
  <si>
    <t>&gt;=</t>
  </si>
  <si>
    <t>Number of Employees</t>
  </si>
  <si>
    <t>Exercise 05 Schedule Optimization:</t>
  </si>
  <si>
    <t>Exercise 05</t>
  </si>
  <si>
    <t>By Changing Cells</t>
  </si>
  <si>
    <t>Project No</t>
  </si>
  <si>
    <t>NPV</t>
  </si>
  <si>
    <t xml:space="preserve">Year 1 </t>
  </si>
  <si>
    <t xml:space="preserve">Year 2 </t>
  </si>
  <si>
    <t>Project 1</t>
  </si>
  <si>
    <t>Project 2</t>
  </si>
  <si>
    <t>Project 3</t>
  </si>
  <si>
    <t>Project 4</t>
  </si>
  <si>
    <t>Project 5</t>
  </si>
  <si>
    <t>Project 6</t>
  </si>
  <si>
    <t>Project 7</t>
  </si>
  <si>
    <t>Project 8</t>
  </si>
  <si>
    <t>Project 9</t>
  </si>
  <si>
    <t>Needed</t>
  </si>
  <si>
    <t>Available</t>
  </si>
  <si>
    <t>Exercise 06 Project Selection:</t>
  </si>
  <si>
    <t>Exercise 06</t>
  </si>
  <si>
    <t>Portfolio Amount:</t>
  </si>
  <si>
    <t>Investment</t>
  </si>
  <si>
    <t>Pct Yield</t>
  </si>
  <si>
    <t>Amount Invested</t>
  </si>
  <si>
    <t>Yield</t>
  </si>
  <si>
    <t>Pct. of Portfolio</t>
  </si>
  <si>
    <t>New Car Loans</t>
  </si>
  <si>
    <t>Used Car Loans</t>
  </si>
  <si>
    <t>Real Estate Loans</t>
  </si>
  <si>
    <t>Unsecured Loans</t>
  </si>
  <si>
    <t>Bank CDs</t>
  </si>
  <si>
    <t>TOTAL</t>
  </si>
  <si>
    <t>Total Yield:</t>
  </si>
  <si>
    <t>Auto Loans</t>
  </si>
  <si>
    <t>Exercise 07 Investment Portfolio Optimization Based on Total Yield:</t>
  </si>
  <si>
    <t>WhatsApp</t>
  </si>
  <si>
    <t>Qualification</t>
  </si>
  <si>
    <t>Satisfaction</t>
  </si>
  <si>
    <t xml:space="preserve">Worker </t>
  </si>
  <si>
    <t>Department</t>
  </si>
  <si>
    <t>Assigned</t>
  </si>
  <si>
    <t>Total Satisfaction</t>
  </si>
  <si>
    <t>Exercise 08</t>
  </si>
  <si>
    <t>Exercise 07</t>
  </si>
  <si>
    <t>Exercise 08 Assign Department:</t>
  </si>
  <si>
    <t>Exercise 01</t>
  </si>
  <si>
    <t>Exercise 02</t>
  </si>
  <si>
    <t>Load These Settings to Solver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</si>
</sst>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164" formatCode="[$$-409]#,##0.00"/>
    <numFmt numFmtId="165" formatCode="0.000"/>
    <numFmt numFmtId="166" formatCode="&quot;$&quot;#,##0"/>
    <numFmt numFmtId="167" formatCode="#,##0;[Red]#,##0"/>
    <numFmt numFmtId="168" formatCode="&quot;$&quot;#,##0;[Red]&quot;$&quot;#,##0"/>
    <numFmt numFmtId="169" formatCode="&quot;$&quot;#,##0.00"/>
  </numFmts>
  <fonts count="13" x14ac:knownFonts="1">
    <font>
      <sz val="11"/>
      <color theme="1"/>
      <name val="Calibri"/>
      <family val="2"/>
      <scheme val="minor"/>
    </font>
    <font>
      <sz val="12"/>
      <color theme="1"/>
      <name val="Calibri"/>
      <family val="2"/>
      <scheme val="minor"/>
    </font>
    <font>
      <b/>
      <sz val="14"/>
      <color theme="1"/>
      <name val="Calibri"/>
      <family val="2"/>
      <scheme val="minor"/>
    </font>
    <font>
      <b/>
      <sz val="16"/>
      <color theme="3"/>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1"/>
      <name val="Calibri"/>
      <family val="2"/>
      <scheme val="minor"/>
    </font>
    <font>
      <sz val="11"/>
      <name val="Calibri"/>
      <family val="2"/>
      <scheme val="minor"/>
    </font>
    <font>
      <b/>
      <sz val="11"/>
      <color theme="1"/>
      <name val="Calibri"/>
      <family val="2"/>
      <scheme val="minor"/>
    </font>
    <font>
      <b/>
      <sz val="14"/>
      <name val="Calibri"/>
      <family val="2"/>
      <scheme val="minor"/>
    </font>
    <font>
      <b/>
      <sz val="12"/>
      <color rgb="FFFF0000"/>
      <name val="Calibri"/>
      <family val="2"/>
      <scheme val="minor"/>
    </font>
    <font>
      <sz val="12"/>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0"/>
      </patternFill>
    </fill>
    <fill>
      <patternFill patternType="solid">
        <fgColor theme="4" tint="0.79998168889431442"/>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ck">
        <color theme="7"/>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s>
  <cellStyleXfs count="6">
    <xf numFmtId="0" fontId="0" fillId="0" borderId="0"/>
    <xf numFmtId="0" fontId="3" fillId="0" borderId="2" applyNumberFormat="0" applyFill="0" applyAlignment="0" applyProtection="0"/>
    <xf numFmtId="41" fontId="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9" fontId="4" fillId="0" borderId="0" applyFont="0" applyFill="0" applyBorder="0" applyAlignment="0" applyProtection="0"/>
  </cellStyleXfs>
  <cellXfs count="83">
    <xf numFmtId="0" fontId="0" fillId="0" borderId="0" xfId="0"/>
    <xf numFmtId="0" fontId="0" fillId="0" borderId="0" xfId="0" applyAlignment="1">
      <alignment horizontal="center" vertical="center"/>
    </xf>
    <xf numFmtId="0" fontId="9" fillId="0" borderId="1" xfId="0" applyFont="1" applyBorder="1" applyAlignment="1">
      <alignment horizontal="center" vertical="center"/>
    </xf>
    <xf numFmtId="0" fontId="8" fillId="0" borderId="1" xfId="0" applyFont="1" applyBorder="1" applyAlignment="1">
      <alignment horizontal="center" vertical="center"/>
    </xf>
    <xf numFmtId="6" fontId="10" fillId="0" borderId="1" xfId="0" applyNumberFormat="1" applyFont="1" applyBorder="1" applyAlignment="1">
      <alignment horizontal="center" vertical="center"/>
    </xf>
    <xf numFmtId="0" fontId="11" fillId="0" borderId="0" xfId="0" applyFont="1" applyAlignment="1">
      <alignment vertical="center"/>
    </xf>
    <xf numFmtId="0" fontId="6" fillId="4" borderId="1" xfId="0" applyFont="1" applyFill="1" applyBorder="1" applyAlignment="1">
      <alignment horizontal="center" vertical="center"/>
    </xf>
    <xf numFmtId="41" fontId="6" fillId="4" borderId="1" xfId="2" applyFont="1" applyFill="1" applyBorder="1" applyAlignment="1">
      <alignment horizontal="center" vertical="center"/>
    </xf>
    <xf numFmtId="5" fontId="12" fillId="0" borderId="1" xfId="4" applyNumberFormat="1" applyFont="1" applyBorder="1" applyAlignment="1">
      <alignment horizontal="center" vertical="center"/>
    </xf>
    <xf numFmtId="3" fontId="12" fillId="3" borderId="1" xfId="2" applyNumberFormat="1" applyFont="1" applyFill="1" applyBorder="1" applyAlignment="1">
      <alignment horizontal="center" vertical="center"/>
    </xf>
    <xf numFmtId="3" fontId="5" fillId="4" borderId="1" xfId="0" applyNumberFormat="1" applyFont="1" applyFill="1" applyBorder="1" applyAlignment="1">
      <alignment horizontal="center" vertical="center"/>
    </xf>
    <xf numFmtId="38" fontId="5" fillId="4" borderId="1" xfId="0" applyNumberFormat="1" applyFont="1" applyFill="1" applyBorder="1" applyAlignment="1">
      <alignment horizontal="center" vertical="center"/>
    </xf>
    <xf numFmtId="42" fontId="12" fillId="0" borderId="1" xfId="4" applyFont="1" applyBorder="1" applyAlignment="1">
      <alignment horizontal="center" vertical="center"/>
    </xf>
    <xf numFmtId="0" fontId="2" fillId="4" borderId="1" xfId="0" applyFont="1" applyFill="1" applyBorder="1" applyAlignment="1">
      <alignment horizontal="center" vertical="center"/>
    </xf>
    <xf numFmtId="0" fontId="10" fillId="4" borderId="1" xfId="0" applyFont="1" applyFill="1" applyBorder="1" applyAlignment="1">
      <alignment horizontal="center" vertical="center"/>
    </xf>
    <xf numFmtId="0" fontId="5" fillId="0" borderId="0" xfId="0" applyFont="1" applyAlignment="1">
      <alignment horizontal="center" vertical="center"/>
    </xf>
    <xf numFmtId="0" fontId="7" fillId="2" borderId="1" xfId="0" applyFont="1" applyFill="1" applyBorder="1" applyAlignment="1">
      <alignment horizontal="center" vertical="center"/>
    </xf>
    <xf numFmtId="0" fontId="5" fillId="0" borderId="1" xfId="0" applyFont="1" applyBorder="1" applyAlignment="1">
      <alignment horizontal="center" vertical="center"/>
    </xf>
    <xf numFmtId="166" fontId="5" fillId="0" borderId="1" xfId="0" applyNumberFormat="1" applyFont="1" applyBorder="1" applyAlignment="1">
      <alignment horizontal="center" vertical="center"/>
    </xf>
    <xf numFmtId="44" fontId="0" fillId="0" borderId="0" xfId="3" applyFont="1" applyAlignment="1">
      <alignment horizontal="center" vertical="center"/>
    </xf>
    <xf numFmtId="0" fontId="2" fillId="4" borderId="1" xfId="0" applyFont="1" applyFill="1" applyBorder="1" applyAlignment="1">
      <alignment horizontal="center" vertical="center" wrapText="1"/>
    </xf>
    <xf numFmtId="44" fontId="2" fillId="4" borderId="1" xfId="3" applyFont="1" applyFill="1" applyBorder="1" applyAlignment="1">
      <alignment horizontal="center" vertical="center"/>
    </xf>
    <xf numFmtId="44" fontId="2" fillId="4" borderId="1" xfId="3" applyFont="1" applyFill="1" applyBorder="1" applyAlignment="1">
      <alignment horizontal="center" vertical="center" wrapText="1"/>
    </xf>
    <xf numFmtId="0" fontId="6" fillId="0" borderId="1" xfId="0" applyFont="1" applyBorder="1" applyAlignment="1">
      <alignment horizontal="center" vertical="center"/>
    </xf>
    <xf numFmtId="10" fontId="5" fillId="0" borderId="1" xfId="0" applyNumberFormat="1" applyFont="1" applyBorder="1" applyAlignment="1">
      <alignment horizontal="center" vertical="center"/>
    </xf>
    <xf numFmtId="0" fontId="10" fillId="2" borderId="1" xfId="0" applyFont="1" applyFill="1" applyBorder="1" applyAlignment="1">
      <alignment horizontal="center" vertical="center"/>
    </xf>
    <xf numFmtId="0" fontId="10" fillId="0" borderId="0" xfId="0" applyFont="1" applyFill="1" applyBorder="1" applyAlignment="1">
      <alignment horizontal="center" vertical="center"/>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applyFont="1"/>
    <xf numFmtId="0" fontId="0" fillId="0" borderId="0" xfId="0" applyFont="1" applyAlignment="1">
      <alignment vertical="center"/>
    </xf>
    <xf numFmtId="0" fontId="2" fillId="2" borderId="0" xfId="0" applyFont="1" applyFill="1" applyAlignment="1">
      <alignment horizontal="center" vertical="center"/>
    </xf>
    <xf numFmtId="0" fontId="0" fillId="0" borderId="0" xfId="0" applyFont="1" applyAlignment="1">
      <alignment horizontal="center" vertical="center"/>
    </xf>
    <xf numFmtId="0" fontId="1" fillId="0" borderId="0" xfId="0" applyFont="1" applyAlignment="1">
      <alignment vertical="center"/>
    </xf>
    <xf numFmtId="14" fontId="1" fillId="0" borderId="0" xfId="0" applyNumberFormat="1" applyFont="1" applyAlignment="1">
      <alignment vertical="center"/>
    </xf>
    <xf numFmtId="0" fontId="1" fillId="0" borderId="1" xfId="0" applyFont="1" applyBorder="1" applyAlignment="1">
      <alignment horizontal="center" vertical="center"/>
    </xf>
    <xf numFmtId="3" fontId="1" fillId="0" borderId="1" xfId="0" applyNumberFormat="1" applyFont="1" applyBorder="1" applyAlignment="1">
      <alignment horizontal="center" vertical="center"/>
    </xf>
    <xf numFmtId="0" fontId="0" fillId="0" borderId="1" xfId="0" applyFont="1" applyBorder="1" applyAlignment="1">
      <alignment horizontal="center" vertical="center"/>
    </xf>
    <xf numFmtId="38" fontId="1" fillId="0" borderId="1" xfId="0" applyNumberFormat="1" applyFont="1" applyBorder="1" applyAlignment="1">
      <alignment horizontal="center" vertical="center"/>
    </xf>
    <xf numFmtId="38" fontId="0" fillId="0" borderId="0" xfId="0" applyNumberFormat="1" applyFont="1" applyAlignment="1">
      <alignment horizontal="center" vertical="center"/>
    </xf>
    <xf numFmtId="0" fontId="1" fillId="0" borderId="0" xfId="0" applyFont="1" applyAlignment="1">
      <alignment horizontal="center" vertical="center"/>
    </xf>
    <xf numFmtId="2" fontId="1"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166" fontId="1" fillId="0" borderId="1" xfId="3" applyNumberFormat="1" applyFont="1" applyBorder="1" applyAlignment="1">
      <alignment horizontal="center" vertical="center"/>
    </xf>
    <xf numFmtId="166" fontId="1" fillId="0" borderId="1" xfId="0" applyNumberFormat="1" applyFont="1" applyBorder="1" applyAlignment="1">
      <alignment horizontal="center" vertical="center"/>
    </xf>
    <xf numFmtId="0" fontId="0" fillId="0" borderId="1" xfId="0" applyFont="1" applyBorder="1" applyAlignment="1">
      <alignment vertical="center"/>
    </xf>
    <xf numFmtId="10" fontId="1" fillId="0" borderId="1" xfId="5" applyNumberFormat="1" applyFont="1" applyBorder="1" applyAlignment="1">
      <alignment horizontal="center" vertical="center"/>
    </xf>
    <xf numFmtId="1" fontId="1" fillId="0" borderId="1" xfId="0" applyNumberFormat="1" applyFont="1" applyBorder="1" applyAlignment="1">
      <alignment horizontal="center" vertical="center"/>
    </xf>
    <xf numFmtId="165" fontId="1" fillId="0" borderId="1" xfId="0" applyNumberFormat="1" applyFont="1" applyBorder="1" applyAlignment="1">
      <alignment horizontal="center" vertical="center"/>
    </xf>
    <xf numFmtId="0" fontId="1" fillId="5" borderId="1" xfId="0" applyFont="1" applyFill="1" applyBorder="1" applyAlignment="1">
      <alignment horizontal="center" vertical="center"/>
    </xf>
    <xf numFmtId="167" fontId="1" fillId="0" borderId="1" xfId="0" applyNumberFormat="1" applyFont="1" applyBorder="1" applyAlignment="1">
      <alignment horizontal="center" vertical="center"/>
    </xf>
    <xf numFmtId="168" fontId="0" fillId="0" borderId="1" xfId="0" applyNumberFormat="1" applyFont="1" applyBorder="1" applyAlignment="1">
      <alignment horizontal="center" vertical="center"/>
    </xf>
    <xf numFmtId="44" fontId="1" fillId="0" borderId="1" xfId="3" applyFont="1" applyBorder="1" applyAlignment="1">
      <alignment horizontal="center" vertical="center"/>
    </xf>
    <xf numFmtId="166" fontId="1" fillId="0" borderId="0" xfId="0" applyNumberFormat="1" applyFont="1" applyFill="1" applyBorder="1" applyAlignment="1">
      <alignment horizontal="center" vertical="center"/>
    </xf>
    <xf numFmtId="10" fontId="1" fillId="0" borderId="1" xfId="0" applyNumberFormat="1" applyFont="1" applyBorder="1" applyAlignment="1">
      <alignment horizontal="center" vertical="center"/>
    </xf>
    <xf numFmtId="169" fontId="1" fillId="0" borderId="1" xfId="0" applyNumberFormat="1" applyFont="1" applyBorder="1" applyAlignment="1">
      <alignment horizontal="center" vertical="center"/>
    </xf>
    <xf numFmtId="0" fontId="0" fillId="0" borderId="0" xfId="0" applyFont="1" applyAlignment="1">
      <alignment horizontal="right"/>
    </xf>
    <xf numFmtId="0" fontId="1" fillId="2" borderId="1" xfId="0" applyFont="1" applyFill="1" applyBorder="1" applyAlignment="1">
      <alignment horizontal="center" vertical="center"/>
    </xf>
    <xf numFmtId="0" fontId="0" fillId="0" borderId="4" xfId="0" applyFont="1" applyBorder="1" applyAlignment="1">
      <alignment horizontal="center" vertical="center"/>
    </xf>
    <xf numFmtId="42" fontId="10" fillId="0" borderId="1" xfId="0" applyNumberFormat="1" applyFont="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4" xfId="0" applyFont="1" applyFill="1" applyBorder="1" applyAlignment="1">
      <alignment horizontal="center" vertical="center"/>
    </xf>
    <xf numFmtId="164" fontId="1" fillId="0" borderId="3" xfId="0" applyNumberFormat="1" applyFont="1" applyBorder="1" applyAlignment="1">
      <alignment horizontal="center" vertical="center"/>
    </xf>
    <xf numFmtId="164" fontId="1" fillId="0" borderId="4" xfId="0" applyNumberFormat="1" applyFont="1" applyBorder="1" applyAlignment="1">
      <alignment horizontal="center" vertical="center"/>
    </xf>
    <xf numFmtId="164" fontId="1" fillId="0" borderId="1" xfId="0" applyNumberFormat="1" applyFont="1" applyBorder="1" applyAlignment="1">
      <alignment horizontal="center" vertical="center"/>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2" xfId="1" applyFont="1" applyFill="1" applyAlignment="1">
      <alignment horizontal="center" vertical="center"/>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3" fillId="2" borderId="2" xfId="1" applyFill="1" applyAlignment="1">
      <alignment horizontal="center" vertical="center"/>
    </xf>
  </cellXfs>
  <cellStyles count="6">
    <cellStyle name="Comma [0]" xfId="2" builtinId="6"/>
    <cellStyle name="Currency" xfId="3" builtinId="4"/>
    <cellStyle name="Currency [0]" xfId="4" builtinId="7"/>
    <cellStyle name="Heading 2" xfId="1" builtinId="17" customBuiltin="1"/>
    <cellStyle name="Normal" xfId="0" builtinId="0"/>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200026</xdr:colOff>
      <xdr:row>6</xdr:row>
      <xdr:rowOff>159319</xdr:rowOff>
    </xdr:from>
    <xdr:to>
      <xdr:col>6</xdr:col>
      <xdr:colOff>219075</xdr:colOff>
      <xdr:row>7</xdr:row>
      <xdr:rowOff>171393</xdr:rowOff>
    </xdr:to>
    <xdr:pic>
      <xdr:nvPicPr>
        <xdr:cNvPr id="2" name="Picture 1">
          <a:extLst>
            <a:ext uri="{FF2B5EF4-FFF2-40B4-BE49-F238E27FC236}">
              <a16:creationId xmlns:a16="http://schemas.microsoft.com/office/drawing/2014/main" id="{D7FC2588-76F1-47FA-A873-D41161976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86276" y="1645219"/>
          <a:ext cx="1152524" cy="259724"/>
        </a:xfrm>
        <a:prstGeom prst="rect">
          <a:avLst/>
        </a:prstGeom>
      </xdr:spPr>
    </xdr:pic>
    <xdr:clientData/>
  </xdr:twoCellAnchor>
  <xdr:twoCellAnchor>
    <xdr:from>
      <xdr:col>7</xdr:col>
      <xdr:colOff>609600</xdr:colOff>
      <xdr:row>3</xdr:row>
      <xdr:rowOff>219076</xdr:rowOff>
    </xdr:from>
    <xdr:to>
      <xdr:col>13</xdr:col>
      <xdr:colOff>552450</xdr:colOff>
      <xdr:row>24</xdr:row>
      <xdr:rowOff>114300</xdr:rowOff>
    </xdr:to>
    <xdr:sp macro="" textlink="">
      <xdr:nvSpPr>
        <xdr:cNvPr id="3" name="Speech Bubble: Rectangle with Corners Rounded 2">
          <a:extLst>
            <a:ext uri="{FF2B5EF4-FFF2-40B4-BE49-F238E27FC236}">
              <a16:creationId xmlns:a16="http://schemas.microsoft.com/office/drawing/2014/main" id="{EE8D1436-CDEC-49F8-B8BE-495E616E0E66}"/>
            </a:ext>
          </a:extLst>
        </xdr:cNvPr>
        <xdr:cNvSpPr/>
      </xdr:nvSpPr>
      <xdr:spPr>
        <a:xfrm>
          <a:off x="8181975" y="962026"/>
          <a:ext cx="5715000" cy="5095874"/>
        </a:xfrm>
        <a:prstGeom prst="wedgeRoundRectCallou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01 Minimize Shipping Cost:</a:t>
          </a:r>
          <a:r>
            <a:rPr lang="en-US" sz="1200" b="0" i="0" u="none" strike="noStrike">
              <a:solidFill>
                <a:sysClr val="windowText" lastClr="000000"/>
              </a:solidFill>
              <a:effectLst/>
              <a:latin typeface="+mn-lt"/>
              <a:ea typeface="+mn-ea"/>
              <a:cs typeface="+mn-cs"/>
            </a:rPr>
            <a:t> A company has warehouses in St. Louis, Los Angeles, and Boston. Six retail outlets are situated all over the United States. These retail outlets take orders from customers. The company then ships products from one of the warehouses. The company aims to supply all six retail locations with the products they require from stock that is currently on hand in the warehouses. While shipping products to outlets, the company wants to keep shipping charges as low as possible.</a:t>
          </a:r>
        </a:p>
        <a:p>
          <a:pPr rtl="0" fontAlgn="base"/>
          <a:r>
            <a:rPr lang="en-US" sz="1200" b="0" i="0" u="none" strike="noStrike">
              <a:solidFill>
                <a:sysClr val="windowText" lastClr="000000"/>
              </a:solidFill>
              <a:effectLst/>
              <a:latin typeface="+mn-lt"/>
              <a:ea typeface="+mn-ea"/>
              <a:cs typeface="+mn-cs"/>
            </a:rPr>
            <a:t>The first table shows the shipping costs from one port to another. Then, the second table shows the product requirement for each port. After that, there is a table that contains the information about the warehouse inventory. Your task is to find the values using the solver that will minimize the shipping costs from the warehouses to the outlets.</a:t>
          </a:r>
        </a:p>
        <a:p>
          <a:pPr rtl="0" fontAlgn="base"/>
          <a:r>
            <a:rPr lang="en-US" sz="1200" b="1" i="0" u="none" strike="noStrike">
              <a:solidFill>
                <a:sysClr val="windowText" lastClr="000000"/>
              </a:solidFill>
              <a:effectLst/>
              <a:latin typeface="+mn-lt"/>
              <a:ea typeface="+mn-ea"/>
              <a:cs typeface="+mn-cs"/>
            </a:rPr>
            <a:t>Exercise 02 Minimize Production Cost:</a:t>
          </a:r>
          <a:r>
            <a:rPr lang="en-US" sz="1200" b="0" i="0" u="none" strike="noStrike">
              <a:solidFill>
                <a:sysClr val="windowText" lastClr="000000"/>
              </a:solidFill>
              <a:effectLst/>
              <a:latin typeface="+mn-lt"/>
              <a:ea typeface="+mn-ea"/>
              <a:cs typeface="+mn-cs"/>
            </a:rPr>
            <a:t> Mix different raw materials to produce different types of steel, such as regular, exclusive, and super quality steel. There is data about the availability and cost of these raw materials, as well as their quality rating. Additionally, establish the required amount of production, the price per ton of different classes of steels, and their minimum rating. The conditions are given in the dataset.</a:t>
          </a:r>
        </a:p>
      </xdr:txBody>
    </xdr:sp>
    <xdr:clientData/>
  </xdr:twoCellAnchor>
  <xdr:twoCellAnchor>
    <xdr:from>
      <xdr:col>6</xdr:col>
      <xdr:colOff>200025</xdr:colOff>
      <xdr:row>45</xdr:row>
      <xdr:rowOff>133350</xdr:rowOff>
    </xdr:from>
    <xdr:to>
      <xdr:col>12</xdr:col>
      <xdr:colOff>200025</xdr:colOff>
      <xdr:row>62</xdr:row>
      <xdr:rowOff>133350</xdr:rowOff>
    </xdr:to>
    <xdr:sp macro="" textlink="">
      <xdr:nvSpPr>
        <xdr:cNvPr id="4" name="Speech Bubble: Rectangle with Corners Rounded 3">
          <a:extLst>
            <a:ext uri="{FF2B5EF4-FFF2-40B4-BE49-F238E27FC236}">
              <a16:creationId xmlns:a16="http://schemas.microsoft.com/office/drawing/2014/main" id="{A9FBB5DF-0B2C-46E5-98EE-2F7E46CD1FF4}"/>
            </a:ext>
          </a:extLst>
        </xdr:cNvPr>
        <xdr:cNvSpPr/>
      </xdr:nvSpPr>
      <xdr:spPr>
        <a:xfrm>
          <a:off x="6953250" y="11277600"/>
          <a:ext cx="5762625" cy="4210050"/>
        </a:xfrm>
        <a:prstGeom prst="wedgeRoundRectCallout">
          <a:avLst>
            <a:gd name="adj1" fmla="val -21192"/>
            <a:gd name="adj2" fmla="val 55380"/>
            <a:gd name="adj3" fmla="val 16667"/>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03 Maximize Profit of Products:</a:t>
          </a:r>
          <a:r>
            <a:rPr lang="en-US" sz="1200" b="0" i="0" u="none" strike="noStrike">
              <a:solidFill>
                <a:sysClr val="windowText" lastClr="000000"/>
              </a:solidFill>
              <a:effectLst/>
              <a:latin typeface="+mn-lt"/>
              <a:ea typeface="+mn-ea"/>
              <a:cs typeface="+mn-cs"/>
            </a:rPr>
            <a:t> Profit per unit is given for 17 products. Your task is to find the maximum profit using the solver. </a:t>
          </a:r>
        </a:p>
        <a:p>
          <a:pPr lvl="1" rtl="0" fontAlgn="base"/>
          <a:r>
            <a:rPr lang="en-US" sz="1200" b="0" i="0" u="none" strike="noStrike">
              <a:solidFill>
                <a:sysClr val="windowText" lastClr="000000"/>
              </a:solidFill>
              <a:effectLst/>
              <a:latin typeface="+mn-lt"/>
              <a:ea typeface="+mn-ea"/>
              <a:cs typeface="+mn-cs"/>
            </a:rPr>
            <a:t>The combined production capacity is 300 units per day.</a:t>
          </a:r>
        </a:p>
        <a:p>
          <a:pPr lvl="1" rtl="0" fontAlgn="base"/>
          <a:r>
            <a:rPr lang="en-US" sz="1200" b="0" i="0" u="none" strike="noStrike">
              <a:solidFill>
                <a:sysClr val="windowText" lastClr="000000"/>
              </a:solidFill>
              <a:effectLst/>
              <a:latin typeface="+mn-lt"/>
              <a:ea typeface="+mn-ea"/>
              <a:cs typeface="+mn-cs"/>
            </a:rPr>
            <a:t>The company needs 50 units of Product A to fill an existing order.</a:t>
          </a:r>
        </a:p>
        <a:p>
          <a:pPr lvl="1" rtl="0" fontAlgn="base"/>
          <a:r>
            <a:rPr lang="en-US" sz="1200" b="0" i="0" u="none" strike="noStrike">
              <a:solidFill>
                <a:sysClr val="windowText" lastClr="000000"/>
              </a:solidFill>
              <a:effectLst/>
              <a:latin typeface="+mn-lt"/>
              <a:ea typeface="+mn-ea"/>
              <a:cs typeface="+mn-cs"/>
            </a:rPr>
            <a:t>The company needs 40 units of Product B to fill an expected order.</a:t>
          </a:r>
        </a:p>
        <a:p>
          <a:pPr lvl="1" rtl="0" fontAlgn="base"/>
          <a:r>
            <a:rPr lang="en-US" sz="1200" b="0" i="0" u="none" strike="noStrike">
              <a:solidFill>
                <a:sysClr val="windowText" lastClr="000000"/>
              </a:solidFill>
              <a:effectLst/>
              <a:latin typeface="+mn-lt"/>
              <a:ea typeface="+mn-ea"/>
              <a:cs typeface="+mn-cs"/>
            </a:rPr>
            <a:t>The market for Product C is relatively limited. So the company is not interested in producing more than 40 units of this product per day. Additionally, the Product D to Q should be more or equal to 15.</a:t>
          </a:r>
        </a:p>
        <a:p>
          <a:pPr rtl="0" fontAlgn="base"/>
          <a:r>
            <a:rPr lang="en-US" sz="1200" b="1" i="0" u="none" strike="noStrike">
              <a:solidFill>
                <a:sysClr val="windowText" lastClr="000000"/>
              </a:solidFill>
              <a:effectLst/>
              <a:latin typeface="+mn-lt"/>
              <a:ea typeface="+mn-ea"/>
              <a:cs typeface="+mn-cs"/>
            </a:rPr>
            <a:t>Exercise 04 Marketing Budget Allocation:</a:t>
          </a:r>
          <a:r>
            <a:rPr lang="en-US" sz="1200" b="0" i="0" u="none" strike="noStrike">
              <a:solidFill>
                <a:sysClr val="windowText" lastClr="000000"/>
              </a:solidFill>
              <a:effectLst/>
              <a:latin typeface="+mn-lt"/>
              <a:ea typeface="+mn-ea"/>
              <a:cs typeface="+mn-cs"/>
            </a:rPr>
            <a:t> Here, the current stats on the left, and the portion where you are going to use the solver is on the right. Your task is to maximize the conversions (value of cell J83). The budget should be higher or equal to sixty thousands and the total solver budget and the total cost should be equal.</a:t>
          </a:r>
        </a:p>
      </xdr:txBody>
    </xdr:sp>
    <xdr:clientData/>
  </xdr:twoCellAnchor>
  <xdr:twoCellAnchor>
    <xdr:from>
      <xdr:col>11</xdr:col>
      <xdr:colOff>95249</xdr:colOff>
      <xdr:row>82</xdr:row>
      <xdr:rowOff>200025</xdr:rowOff>
    </xdr:from>
    <xdr:to>
      <xdr:col>15</xdr:col>
      <xdr:colOff>323849</xdr:colOff>
      <xdr:row>107</xdr:row>
      <xdr:rowOff>28575</xdr:rowOff>
    </xdr:to>
    <xdr:sp macro="" textlink="">
      <xdr:nvSpPr>
        <xdr:cNvPr id="5" name="Speech Bubble: Rectangle with Corners Rounded 4">
          <a:extLst>
            <a:ext uri="{FF2B5EF4-FFF2-40B4-BE49-F238E27FC236}">
              <a16:creationId xmlns:a16="http://schemas.microsoft.com/office/drawing/2014/main" id="{F34AACD5-9349-412C-8FC4-7893A6582BF2}"/>
            </a:ext>
          </a:extLst>
        </xdr:cNvPr>
        <xdr:cNvSpPr/>
      </xdr:nvSpPr>
      <xdr:spPr>
        <a:xfrm>
          <a:off x="11696699" y="20507325"/>
          <a:ext cx="4105275" cy="6019800"/>
        </a:xfrm>
        <a:prstGeom prst="wedgeRoundRectCallout">
          <a:avLst>
            <a:gd name="adj1" fmla="val -44267"/>
            <a:gd name="adj2" fmla="val 54272"/>
            <a:gd name="adj3" fmla="val 16667"/>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05 Schedule Optimization:</a:t>
          </a:r>
          <a:r>
            <a:rPr lang="en-US" sz="1200" b="0" i="0" u="none" strike="noStrike">
              <a:solidFill>
                <a:sysClr val="windowText" lastClr="000000"/>
              </a:solidFill>
              <a:effectLst/>
              <a:latin typeface="+mn-lt"/>
              <a:ea typeface="+mn-ea"/>
              <a:cs typeface="+mn-cs"/>
            </a:rPr>
            <a:t> The number of workers needed for a bank is provided. For example, 17 workers are needed on Monday, 13 workers are needed on Tuesday, 15 workers are needed on Wednesday, and so on. All bank employees work five consecutive days. What is the minimum number of employees that this bank can have to meet its labor requirement?</a:t>
          </a:r>
        </a:p>
        <a:p>
          <a:pPr lvl="1" rtl="0" fontAlgn="base"/>
          <a:r>
            <a:rPr lang="en-US" sz="1200" b="0" i="0" u="none" strike="noStrike">
              <a:solidFill>
                <a:sysClr val="windowText" lastClr="000000"/>
              </a:solidFill>
              <a:effectLst/>
              <a:latin typeface="+mn-lt"/>
              <a:ea typeface="+mn-ea"/>
              <a:cs typeface="+mn-cs"/>
            </a:rPr>
            <a:t>The condition is, Total Number of Employee &gt;= Number Needed is given in row 96 and 98.</a:t>
          </a:r>
        </a:p>
        <a:p>
          <a:pPr rtl="0" fontAlgn="base"/>
          <a:r>
            <a:rPr lang="en-US" sz="1200" b="1" i="0" u="none" strike="noStrike">
              <a:solidFill>
                <a:sysClr val="windowText" lastClr="000000"/>
              </a:solidFill>
              <a:effectLst/>
              <a:latin typeface="+mn-lt"/>
              <a:ea typeface="+mn-ea"/>
              <a:cs typeface="+mn-cs"/>
            </a:rPr>
            <a:t>Exercise 06 Project Selection:</a:t>
          </a:r>
          <a:r>
            <a:rPr lang="en-US" sz="1200" b="0" i="0" u="none" strike="noStrike">
              <a:solidFill>
                <a:sysClr val="windowText" lastClr="000000"/>
              </a:solidFill>
              <a:effectLst/>
              <a:latin typeface="+mn-lt"/>
              <a:ea typeface="+mn-ea"/>
              <a:cs typeface="+mn-cs"/>
            </a:rPr>
            <a:t> Use an excel solver to determine which projects should be undertaken in excel. </a:t>
          </a:r>
        </a:p>
        <a:p>
          <a:pPr lvl="1" rtl="0" fontAlgn="base"/>
          <a:r>
            <a:rPr lang="en-US" sz="1200" b="0" i="0" u="none" strike="noStrike">
              <a:solidFill>
                <a:sysClr val="windowText" lastClr="000000"/>
              </a:solidFill>
              <a:effectLst/>
              <a:latin typeface="+mn-lt"/>
              <a:ea typeface="+mn-ea"/>
              <a:cs typeface="+mn-cs"/>
            </a:rPr>
            <a:t>Firstly, find the maximum value of NPV.</a:t>
          </a:r>
        </a:p>
        <a:p>
          <a:pPr lvl="1" rtl="0" fontAlgn="base"/>
          <a:r>
            <a:rPr lang="en-US" sz="1200" b="0" i="0" u="none" strike="noStrike">
              <a:solidFill>
                <a:sysClr val="windowText" lastClr="000000"/>
              </a:solidFill>
              <a:effectLst/>
              <a:latin typeface="+mn-lt"/>
              <a:ea typeface="+mn-ea"/>
              <a:cs typeface="+mn-cs"/>
            </a:rPr>
            <a:t>Secondly, the year 1 value should be &lt;=50,000,000 and year 2 value should be &lt;=20,000,000.</a:t>
          </a:r>
        </a:p>
        <a:p>
          <a:pPr lvl="1" rtl="0" fontAlgn="base"/>
          <a:r>
            <a:rPr lang="en-US" sz="1200" b="0" i="0" u="none" strike="noStrike">
              <a:solidFill>
                <a:sysClr val="windowText" lastClr="000000"/>
              </a:solidFill>
              <a:effectLst/>
              <a:latin typeface="+mn-lt"/>
              <a:ea typeface="+mn-ea"/>
              <a:cs typeface="+mn-cs"/>
            </a:rPr>
            <a:t>Thirdly, selecting a project means 1 and discarding means 0. So use this.</a:t>
          </a:r>
        </a:p>
      </xdr:txBody>
    </xdr:sp>
    <xdr:clientData/>
  </xdr:twoCellAnchor>
  <xdr:twoCellAnchor>
    <xdr:from>
      <xdr:col>7</xdr:col>
      <xdr:colOff>447675</xdr:colOff>
      <xdr:row>113</xdr:row>
      <xdr:rowOff>200025</xdr:rowOff>
    </xdr:from>
    <xdr:to>
      <xdr:col>13</xdr:col>
      <xdr:colOff>647700</xdr:colOff>
      <xdr:row>133</xdr:row>
      <xdr:rowOff>219074</xdr:rowOff>
    </xdr:to>
    <xdr:sp macro="" textlink="">
      <xdr:nvSpPr>
        <xdr:cNvPr id="6" name="Speech Bubble: Rectangle with Corners Rounded 5">
          <a:extLst>
            <a:ext uri="{FF2B5EF4-FFF2-40B4-BE49-F238E27FC236}">
              <a16:creationId xmlns:a16="http://schemas.microsoft.com/office/drawing/2014/main" id="{AD726435-E68C-4342-9AC6-9379AABA5607}"/>
            </a:ext>
          </a:extLst>
        </xdr:cNvPr>
        <xdr:cNvSpPr/>
      </xdr:nvSpPr>
      <xdr:spPr>
        <a:xfrm>
          <a:off x="8020050" y="28184475"/>
          <a:ext cx="5972175" cy="4972049"/>
        </a:xfrm>
        <a:prstGeom prst="wedgeRoundRectCallout">
          <a:avLst>
            <a:gd name="adj1" fmla="val -33495"/>
            <a:gd name="adj2" fmla="val 53888"/>
            <a:gd name="adj3" fmla="val 16667"/>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07 Investment Portfolio Optimization Based on Total Yield: </a:t>
          </a:r>
          <a:r>
            <a:rPr lang="en-US" sz="1200" b="0" i="0" u="none" strike="noStrike">
              <a:solidFill>
                <a:sysClr val="windowText" lastClr="000000"/>
              </a:solidFill>
              <a:effectLst/>
              <a:latin typeface="+mn-lt"/>
              <a:ea typeface="+mn-ea"/>
              <a:cs typeface="+mn-cs"/>
            </a:rPr>
            <a:t>The credit union is going to invest $5 million in various sectors. Find how this amount will be allocated using the following conditions.</a:t>
          </a:r>
          <a:endParaRPr lang="en-US" sz="1200" b="1" i="0" u="none" strike="noStrike">
            <a:solidFill>
              <a:sysClr val="windowText" lastClr="000000"/>
            </a:solidFill>
            <a:effectLst/>
            <a:latin typeface="+mn-lt"/>
            <a:ea typeface="+mn-ea"/>
            <a:cs typeface="+mn-cs"/>
          </a:endParaRPr>
        </a:p>
        <a:p>
          <a:pPr rtl="0" fontAlgn="base"/>
          <a:r>
            <a:rPr lang="en-US" sz="1200" b="0" i="0" u="none" strike="noStrike">
              <a:solidFill>
                <a:sysClr val="windowText" lastClr="000000"/>
              </a:solidFill>
              <a:effectLst/>
              <a:latin typeface="+mn-lt"/>
              <a:ea typeface="+mn-ea"/>
              <a:cs typeface="+mn-cs"/>
            </a:rPr>
            <a:t>Firstly, the amount that the credit union will invest in new-car loans must be at least three times the amount that the credit union will invest in used-car loans. The reason is: that used car loans are riskier investments.</a:t>
          </a:r>
        </a:p>
        <a:p>
          <a:pPr rtl="0" fontAlgn="base"/>
          <a:r>
            <a:rPr lang="en-US" sz="1200" b="0" i="0" u="none" strike="noStrike">
              <a:solidFill>
                <a:sysClr val="windowText" lastClr="000000"/>
              </a:solidFill>
              <a:effectLst/>
              <a:latin typeface="+mn-lt"/>
              <a:ea typeface="+mn-ea"/>
              <a:cs typeface="+mn-cs"/>
            </a:rPr>
            <a:t>Secondly, car loans should make up at least 15% of the portfolio.</a:t>
          </a:r>
        </a:p>
        <a:p>
          <a:pPr rtl="0" fontAlgn="base"/>
          <a:r>
            <a:rPr lang="en-US" sz="1200" b="0" i="0" u="none" strike="noStrike">
              <a:solidFill>
                <a:sysClr val="windowText" lastClr="000000"/>
              </a:solidFill>
              <a:effectLst/>
              <a:latin typeface="+mn-lt"/>
              <a:ea typeface="+mn-ea"/>
              <a:cs typeface="+mn-cs"/>
            </a:rPr>
            <a:t>Thirdly, unsecured loans should make up no more than 25% of the portfolio.</a:t>
          </a:r>
        </a:p>
        <a:p>
          <a:pPr rtl="0" fontAlgn="base"/>
          <a:r>
            <a:rPr lang="en-US" sz="1200" b="0" i="0" u="none" strike="noStrike">
              <a:solidFill>
                <a:sysClr val="windowText" lastClr="000000"/>
              </a:solidFill>
              <a:effectLst/>
              <a:latin typeface="+mn-lt"/>
              <a:ea typeface="+mn-ea"/>
              <a:cs typeface="+mn-cs"/>
            </a:rPr>
            <a:t>Then, at least 10% of the portfolio should be in bank CDs.</a:t>
          </a:r>
        </a:p>
        <a:p>
          <a:pPr rtl="0" fontAlgn="base"/>
          <a:r>
            <a:rPr lang="en-US" sz="1200" b="0" i="0" u="none" strike="noStrike">
              <a:solidFill>
                <a:sysClr val="windowText" lastClr="000000"/>
              </a:solidFill>
              <a:effectLst/>
              <a:latin typeface="+mn-lt"/>
              <a:ea typeface="+mn-ea"/>
              <a:cs typeface="+mn-cs"/>
            </a:rPr>
            <a:t>Afterward, the total amount invested is $5,000,000.</a:t>
          </a:r>
        </a:p>
        <a:p>
          <a:pPr rtl="0" fontAlgn="base"/>
          <a:r>
            <a:rPr lang="en-US" sz="1200" b="0" i="0" u="none" strike="noStrike">
              <a:solidFill>
                <a:sysClr val="windowText" lastClr="000000"/>
              </a:solidFill>
              <a:effectLst/>
              <a:latin typeface="+mn-lt"/>
              <a:ea typeface="+mn-ea"/>
              <a:cs typeface="+mn-cs"/>
            </a:rPr>
            <a:t>Finally, all investments should be positive or zero.</a:t>
          </a:r>
        </a:p>
        <a:p>
          <a:pPr rtl="0" fontAlgn="base"/>
          <a:r>
            <a:rPr lang="en-US" sz="1200" b="1" i="0" u="none" strike="noStrike">
              <a:solidFill>
                <a:sysClr val="windowText" lastClr="000000"/>
              </a:solidFill>
              <a:effectLst/>
              <a:latin typeface="+mn-lt"/>
              <a:ea typeface="+mn-ea"/>
              <a:cs typeface="+mn-cs"/>
            </a:rPr>
            <a:t>Exercise 08 Assign Department:</a:t>
          </a:r>
          <a:r>
            <a:rPr lang="en-US" sz="1200" b="0" i="0" u="none" strike="noStrike">
              <a:solidFill>
                <a:sysClr val="windowText" lastClr="000000"/>
              </a:solidFill>
              <a:effectLst/>
              <a:latin typeface="+mn-lt"/>
              <a:ea typeface="+mn-ea"/>
              <a:cs typeface="+mn-cs"/>
            </a:rPr>
            <a:t> Need to assign 40 employees to four Departments. The head of each department has rated each employee’s competence on a 0 to 10 scale (10 equals most competent). Each employee has rated his satisfaction with each job department (again on a 0 to 10 scale). Data is recorded in the Problem worksheet. You are going to assign between 8 to 12 people to each department. The problem is how you can assign employees to workgroups to maximize total satisfaction and ensure that each division has the required number of employees.</a:t>
          </a:r>
        </a:p>
        <a:p>
          <a:pPr algn="l"/>
          <a:endParaRPr lang="en-US" sz="12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200026</xdr:colOff>
      <xdr:row>6</xdr:row>
      <xdr:rowOff>104775</xdr:rowOff>
    </xdr:from>
    <xdr:to>
      <xdr:col>6</xdr:col>
      <xdr:colOff>451590</xdr:colOff>
      <xdr:row>7</xdr:row>
      <xdr:rowOff>171393</xdr:rowOff>
    </xdr:to>
    <xdr:pic>
      <xdr:nvPicPr>
        <xdr:cNvPr id="3" name="Picture 2">
          <a:extLst>
            <a:ext uri="{FF2B5EF4-FFF2-40B4-BE49-F238E27FC236}">
              <a16:creationId xmlns:a16="http://schemas.microsoft.com/office/drawing/2014/main" id="{3C4EBAF1-98E5-3B3A-7856-1B8BEC39A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00601" y="1590675"/>
          <a:ext cx="1394564" cy="314268"/>
        </a:xfrm>
        <a:prstGeom prst="rect">
          <a:avLst/>
        </a:prstGeom>
      </xdr:spPr>
    </xdr:pic>
    <xdr:clientData/>
  </xdr:twoCellAnchor>
  <xdr:twoCellAnchor>
    <xdr:from>
      <xdr:col>7</xdr:col>
      <xdr:colOff>1057275</xdr:colOff>
      <xdr:row>1</xdr:row>
      <xdr:rowOff>76200</xdr:rowOff>
    </xdr:from>
    <xdr:to>
      <xdr:col>16</xdr:col>
      <xdr:colOff>476250</xdr:colOff>
      <xdr:row>25</xdr:row>
      <xdr:rowOff>152400</xdr:rowOff>
    </xdr:to>
    <xdr:sp macro="" textlink="">
      <xdr:nvSpPr>
        <xdr:cNvPr id="2" name="Speech Bubble: Rectangle with Corners Rounded 1">
          <a:extLst>
            <a:ext uri="{FF2B5EF4-FFF2-40B4-BE49-F238E27FC236}">
              <a16:creationId xmlns:a16="http://schemas.microsoft.com/office/drawing/2014/main" id="{E509D689-5528-8A42-4794-14B09BC5DA41}"/>
            </a:ext>
          </a:extLst>
        </xdr:cNvPr>
        <xdr:cNvSpPr/>
      </xdr:nvSpPr>
      <xdr:spPr>
        <a:xfrm>
          <a:off x="8629650" y="323850"/>
          <a:ext cx="7962900" cy="6019800"/>
        </a:xfrm>
        <a:prstGeom prst="wedgeRoundRectCallou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01 Minimize Shipping Cost:</a:t>
          </a:r>
          <a:r>
            <a:rPr lang="en-US" sz="1200" b="0" i="0" u="none" strike="noStrike">
              <a:solidFill>
                <a:sysClr val="windowText" lastClr="000000"/>
              </a:solidFill>
              <a:effectLst/>
              <a:latin typeface="+mn-lt"/>
              <a:ea typeface="+mn-ea"/>
              <a:cs typeface="+mn-cs"/>
            </a:rPr>
            <a:t> A company has warehouses in St. Louis, Los Angeles, and Boston. Six retail outlets are situated all over the United States. These retail outlets take orders from customers. The company then ships products from one of the warehouses. The company aims to supply all six retail locations with the products they require from stock that is currently on hand in the warehouses. While shipping products to outlets, the company wants to keep shipping charges as low as possible.</a:t>
          </a:r>
        </a:p>
        <a:p>
          <a:pPr rtl="0" fontAlgn="base"/>
          <a:r>
            <a:rPr lang="en-US" sz="1200" b="0" i="0" u="none" strike="noStrike">
              <a:solidFill>
                <a:sysClr val="windowText" lastClr="000000"/>
              </a:solidFill>
              <a:effectLst/>
              <a:latin typeface="+mn-lt"/>
              <a:ea typeface="+mn-ea"/>
              <a:cs typeface="+mn-cs"/>
            </a:rPr>
            <a:t>The first table shows the shipping costs from one port to another. Then, the second table shows the product requirement for each port. After that, there is a table that contains the information about the warehouse inventory. Your task is to find the values using the solver that will minimize the shipping costs from the warehouses to the outlets.</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G27</a:t>
          </a:r>
        </a:p>
        <a:p>
          <a:pPr lvl="2" rtl="0" fontAlgn="base"/>
          <a:r>
            <a:rPr lang="en-US" sz="1200" b="0" i="0" u="none" strike="noStrike">
              <a:solidFill>
                <a:sysClr val="windowText" lastClr="000000"/>
              </a:solidFill>
              <a:effectLst/>
              <a:latin typeface="+mn-lt"/>
              <a:ea typeface="+mn-ea"/>
              <a:cs typeface="+mn-cs"/>
            </a:rPr>
            <a:t>To: Min</a:t>
          </a:r>
        </a:p>
        <a:p>
          <a:pPr lvl="2" rtl="0" fontAlgn="base"/>
          <a:r>
            <a:rPr lang="en-US" sz="1200" b="0" i="0" u="none" strike="noStrike">
              <a:solidFill>
                <a:sysClr val="windowText" lastClr="000000"/>
              </a:solidFill>
              <a:effectLst/>
              <a:latin typeface="+mn-lt"/>
              <a:ea typeface="+mn-ea"/>
              <a:cs typeface="+mn-cs"/>
            </a:rPr>
            <a:t>By Changing Variable Cells: D15:F20</a:t>
          </a:r>
        </a:p>
        <a:p>
          <a:pPr lvl="2" rtl="0" fontAlgn="base"/>
          <a:r>
            <a:rPr lang="en-US" sz="1200" b="0" i="0" u="none" strike="noStrike">
              <a:solidFill>
                <a:sysClr val="windowText" lastClr="000000"/>
              </a:solidFill>
              <a:effectLst/>
              <a:latin typeface="+mn-lt"/>
              <a:ea typeface="+mn-ea"/>
              <a:cs typeface="+mn-cs"/>
            </a:rPr>
            <a:t>Subject to the Constraints: C15:C20=G15:G20, D25:F25&gt;=0</a:t>
          </a:r>
        </a:p>
        <a:p>
          <a:pPr lvl="2" rtl="0" fontAlgn="base"/>
          <a:r>
            <a:rPr lang="en-US" sz="1200" b="0" i="0" u="none" strike="noStrike">
              <a:solidFill>
                <a:sysClr val="windowText" lastClr="000000"/>
              </a:solidFill>
              <a:effectLst/>
              <a:latin typeface="+mn-lt"/>
              <a:ea typeface="+mn-ea"/>
              <a:cs typeface="+mn-cs"/>
            </a:rPr>
            <a:t>Select a Solving Method: Simplex LP</a:t>
          </a:r>
        </a:p>
        <a:p>
          <a:pPr rtl="0" fontAlgn="base"/>
          <a:r>
            <a:rPr lang="en-US" sz="1200" b="1" i="0" u="none" strike="noStrike">
              <a:solidFill>
                <a:sysClr val="windowText" lastClr="000000"/>
              </a:solidFill>
              <a:effectLst/>
              <a:latin typeface="+mn-lt"/>
              <a:ea typeface="+mn-ea"/>
              <a:cs typeface="+mn-cs"/>
            </a:rPr>
            <a:t>Exercise 02 Minimize Production Cost:</a:t>
          </a:r>
          <a:r>
            <a:rPr lang="en-US" sz="1200" b="0" i="0" u="none" strike="noStrike">
              <a:solidFill>
                <a:sysClr val="windowText" lastClr="000000"/>
              </a:solidFill>
              <a:effectLst/>
              <a:latin typeface="+mn-lt"/>
              <a:ea typeface="+mn-ea"/>
              <a:cs typeface="+mn-cs"/>
            </a:rPr>
            <a:t> Mix different raw materials to produce different types of steel, such as regular, exclusive, and super quality steel. There is data about the availability and cost of these raw materials, as well as their quality rating. Additionally, establish the required amount of production, the price per ton of different classes of steels, and their minimum rating. The conditions are given in the dataset.</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I38</a:t>
          </a:r>
        </a:p>
        <a:p>
          <a:pPr lvl="2" rtl="0" fontAlgn="base"/>
          <a:r>
            <a:rPr lang="en-US" sz="1200" b="0" i="0" u="none" strike="noStrike">
              <a:solidFill>
                <a:sysClr val="windowText" lastClr="000000"/>
              </a:solidFill>
              <a:effectLst/>
              <a:latin typeface="+mn-lt"/>
              <a:ea typeface="+mn-ea"/>
              <a:cs typeface="+mn-cs"/>
            </a:rPr>
            <a:t>To: Min</a:t>
          </a:r>
        </a:p>
        <a:p>
          <a:pPr lvl="2" rtl="0" fontAlgn="base"/>
          <a:r>
            <a:rPr lang="en-US" sz="1200" b="0" i="0" u="none" strike="noStrike">
              <a:solidFill>
                <a:sysClr val="windowText" lastClr="000000"/>
              </a:solidFill>
              <a:effectLst/>
              <a:latin typeface="+mn-lt"/>
              <a:ea typeface="+mn-ea"/>
              <a:cs typeface="+mn-cs"/>
            </a:rPr>
            <a:t>By Changing Variable Cells: C32:E34</a:t>
          </a:r>
        </a:p>
        <a:p>
          <a:pPr lvl="2" rtl="0" fontAlgn="base"/>
          <a:r>
            <a:rPr lang="en-US" sz="1200" b="0" i="0" u="none" strike="noStrike">
              <a:solidFill>
                <a:sysClr val="windowText" lastClr="000000"/>
              </a:solidFill>
              <a:effectLst/>
              <a:latin typeface="+mn-lt"/>
              <a:ea typeface="+mn-ea"/>
              <a:cs typeface="+mn-cs"/>
            </a:rPr>
            <a:t>Subject to the Constraints: C35:E35&gt;=C37:E37, C37:E37&gt;=C43:E43,F32:F34&lt;=H32:H34</a:t>
          </a:r>
        </a:p>
        <a:p>
          <a:pPr lvl="2" rtl="0" fontAlgn="base"/>
          <a:r>
            <a:rPr lang="en-US" sz="1200" b="0" i="0" u="none" strike="noStrike">
              <a:solidFill>
                <a:sysClr val="windowText" lastClr="000000"/>
              </a:solidFill>
              <a:effectLst/>
              <a:latin typeface="+mn-lt"/>
              <a:ea typeface="+mn-ea"/>
              <a:cs typeface="+mn-cs"/>
            </a:rPr>
            <a:t>Select a Solving Method: Simplex LP</a:t>
          </a:r>
        </a:p>
      </xdr:txBody>
    </xdr:sp>
    <xdr:clientData/>
  </xdr:twoCellAnchor>
  <xdr:twoCellAnchor>
    <xdr:from>
      <xdr:col>8</xdr:col>
      <xdr:colOff>238125</xdr:colOff>
      <xdr:row>40</xdr:row>
      <xdr:rowOff>238125</xdr:rowOff>
    </xdr:from>
    <xdr:to>
      <xdr:col>17</xdr:col>
      <xdr:colOff>523875</xdr:colOff>
      <xdr:row>65</xdr:row>
      <xdr:rowOff>66675</xdr:rowOff>
    </xdr:to>
    <xdr:sp macro="" textlink="">
      <xdr:nvSpPr>
        <xdr:cNvPr id="4" name="Speech Bubble: Rectangle with Corners Rounded 3">
          <a:extLst>
            <a:ext uri="{FF2B5EF4-FFF2-40B4-BE49-F238E27FC236}">
              <a16:creationId xmlns:a16="http://schemas.microsoft.com/office/drawing/2014/main" id="{8E26733C-A76A-4EA1-841B-5D9AB14BEBED}"/>
            </a:ext>
          </a:extLst>
        </xdr:cNvPr>
        <xdr:cNvSpPr/>
      </xdr:nvSpPr>
      <xdr:spPr>
        <a:xfrm>
          <a:off x="9286875" y="10144125"/>
          <a:ext cx="7962900" cy="6019800"/>
        </a:xfrm>
        <a:prstGeom prst="wedgeRoundRectCallout">
          <a:avLst>
            <a:gd name="adj1" fmla="val -21192"/>
            <a:gd name="adj2" fmla="val 55380"/>
            <a:gd name="adj3" fmla="val 16667"/>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03 Maximize Profit of Products:</a:t>
          </a:r>
          <a:r>
            <a:rPr lang="en-US" sz="1200" b="0" i="0" u="none" strike="noStrike">
              <a:solidFill>
                <a:sysClr val="windowText" lastClr="000000"/>
              </a:solidFill>
              <a:effectLst/>
              <a:latin typeface="+mn-lt"/>
              <a:ea typeface="+mn-ea"/>
              <a:cs typeface="+mn-cs"/>
            </a:rPr>
            <a:t> Profit per unit is given for 17 products. Your task is to find the maximum profit using the solver. </a:t>
          </a:r>
        </a:p>
        <a:p>
          <a:pPr lvl="1" rtl="0" fontAlgn="base"/>
          <a:r>
            <a:rPr lang="en-US" sz="1200" b="0" i="0" u="none" strike="noStrike">
              <a:solidFill>
                <a:sysClr val="windowText" lastClr="000000"/>
              </a:solidFill>
              <a:effectLst/>
              <a:latin typeface="+mn-lt"/>
              <a:ea typeface="+mn-ea"/>
              <a:cs typeface="+mn-cs"/>
            </a:rPr>
            <a:t>The combined production capacity is 300 units per day.</a:t>
          </a:r>
        </a:p>
        <a:p>
          <a:pPr lvl="1" rtl="0" fontAlgn="base"/>
          <a:r>
            <a:rPr lang="en-US" sz="1200" b="0" i="0" u="none" strike="noStrike">
              <a:solidFill>
                <a:sysClr val="windowText" lastClr="000000"/>
              </a:solidFill>
              <a:effectLst/>
              <a:latin typeface="+mn-lt"/>
              <a:ea typeface="+mn-ea"/>
              <a:cs typeface="+mn-cs"/>
            </a:rPr>
            <a:t>The company needs 50 units of Product A to fill an existing order.</a:t>
          </a:r>
        </a:p>
        <a:p>
          <a:pPr lvl="1" rtl="0" fontAlgn="base"/>
          <a:r>
            <a:rPr lang="en-US" sz="1200" b="0" i="0" u="none" strike="noStrike">
              <a:solidFill>
                <a:sysClr val="windowText" lastClr="000000"/>
              </a:solidFill>
              <a:effectLst/>
              <a:latin typeface="+mn-lt"/>
              <a:ea typeface="+mn-ea"/>
              <a:cs typeface="+mn-cs"/>
            </a:rPr>
            <a:t>The company needs 40 units of Product B to fill an expected order.</a:t>
          </a:r>
        </a:p>
        <a:p>
          <a:pPr lvl="1" rtl="0" fontAlgn="base"/>
          <a:r>
            <a:rPr lang="en-US" sz="1200" b="0" i="0" u="none" strike="noStrike">
              <a:solidFill>
                <a:sysClr val="windowText" lastClr="000000"/>
              </a:solidFill>
              <a:effectLst/>
              <a:latin typeface="+mn-lt"/>
              <a:ea typeface="+mn-ea"/>
              <a:cs typeface="+mn-cs"/>
            </a:rPr>
            <a:t>The market for Product C is relatively limited. So the company is not interested in producing more than 40 units of this product per day. Additionally, the Product D to Q should be more or equal to 15.</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E65</a:t>
          </a:r>
        </a:p>
        <a:p>
          <a:pPr lvl="2" rtl="0" fontAlgn="base"/>
          <a:r>
            <a:rPr lang="en-US" sz="1200" b="0" i="0" u="none" strike="noStrike">
              <a:solidFill>
                <a:sysClr val="windowText" lastClr="000000"/>
              </a:solidFill>
              <a:effectLst/>
              <a:latin typeface="+mn-lt"/>
              <a:ea typeface="+mn-ea"/>
              <a:cs typeface="+mn-cs"/>
            </a:rPr>
            <a:t>To: Max</a:t>
          </a:r>
        </a:p>
        <a:p>
          <a:pPr lvl="2" rtl="0" fontAlgn="base"/>
          <a:r>
            <a:rPr lang="en-US" sz="1200" b="0" i="0" u="none" strike="noStrike">
              <a:solidFill>
                <a:sysClr val="windowText" lastClr="000000"/>
              </a:solidFill>
              <a:effectLst/>
              <a:latin typeface="+mn-lt"/>
              <a:ea typeface="+mn-ea"/>
              <a:cs typeface="+mn-cs"/>
            </a:rPr>
            <a:t>By Changing Variable Cells: C48:C64</a:t>
          </a:r>
        </a:p>
        <a:p>
          <a:pPr lvl="2" rtl="0" fontAlgn="base"/>
          <a:r>
            <a:rPr lang="en-US" sz="1200" b="0" i="0" u="none" strike="noStrike">
              <a:solidFill>
                <a:sysClr val="windowText" lastClr="000000"/>
              </a:solidFill>
              <a:effectLst/>
              <a:latin typeface="+mn-lt"/>
              <a:ea typeface="+mn-ea"/>
              <a:cs typeface="+mn-cs"/>
            </a:rPr>
            <a:t>Subject to the Constraints: C48&lt;=50, C49&gt;=40, C50&lt;=40, C51:C64&gt;=15,C65=400</a:t>
          </a:r>
        </a:p>
        <a:p>
          <a:pPr lvl="2" rtl="0" fontAlgn="base"/>
          <a:r>
            <a:rPr lang="en-US" sz="1200" b="0" i="0" u="none" strike="noStrike">
              <a:solidFill>
                <a:sysClr val="windowText" lastClr="000000"/>
              </a:solidFill>
              <a:effectLst/>
              <a:latin typeface="+mn-lt"/>
              <a:ea typeface="+mn-ea"/>
              <a:cs typeface="+mn-cs"/>
            </a:rPr>
            <a:t>Select a Solving Method: Simplex LP</a:t>
          </a:r>
        </a:p>
        <a:p>
          <a:pPr rtl="0" fontAlgn="base"/>
          <a:r>
            <a:rPr lang="en-US" sz="1200" b="1" i="0" u="none" strike="noStrike">
              <a:solidFill>
                <a:sysClr val="windowText" lastClr="000000"/>
              </a:solidFill>
              <a:effectLst/>
              <a:latin typeface="+mn-lt"/>
              <a:ea typeface="+mn-ea"/>
              <a:cs typeface="+mn-cs"/>
            </a:rPr>
            <a:t>Exercise 04 Marketing Budget Allocation:</a:t>
          </a:r>
          <a:r>
            <a:rPr lang="en-US" sz="1200" b="0" i="0" u="none" strike="noStrike">
              <a:solidFill>
                <a:sysClr val="windowText" lastClr="000000"/>
              </a:solidFill>
              <a:effectLst/>
              <a:latin typeface="+mn-lt"/>
              <a:ea typeface="+mn-ea"/>
              <a:cs typeface="+mn-cs"/>
            </a:rPr>
            <a:t> Here, the current stats on the left, and the portion where you are going to use the solver is on the right. Your task is to maximize the conversions (value of cell J83). The budget should be higher or equal to sixty thousands and the total solver budget and the total cost should be equal.</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J83</a:t>
          </a:r>
        </a:p>
        <a:p>
          <a:pPr lvl="2" rtl="0" fontAlgn="base"/>
          <a:r>
            <a:rPr lang="en-US" sz="1200" b="0" i="0" u="none" strike="noStrike">
              <a:solidFill>
                <a:sysClr val="windowText" lastClr="000000"/>
              </a:solidFill>
              <a:effectLst/>
              <a:latin typeface="+mn-lt"/>
              <a:ea typeface="+mn-ea"/>
              <a:cs typeface="+mn-cs"/>
            </a:rPr>
            <a:t>To: Max</a:t>
          </a:r>
        </a:p>
        <a:p>
          <a:pPr lvl="2" rtl="0" fontAlgn="base"/>
          <a:r>
            <a:rPr lang="en-US" sz="1200" b="0" i="0" u="none" strike="noStrike">
              <a:solidFill>
                <a:sysClr val="windowText" lastClr="000000"/>
              </a:solidFill>
              <a:effectLst/>
              <a:latin typeface="+mn-lt"/>
              <a:ea typeface="+mn-ea"/>
              <a:cs typeface="+mn-cs"/>
            </a:rPr>
            <a:t>By Changing Variable Cells: H71:H82</a:t>
          </a:r>
        </a:p>
        <a:p>
          <a:pPr lvl="2" rtl="0" fontAlgn="base"/>
          <a:r>
            <a:rPr lang="en-US" sz="1200" b="0" i="0" u="none" strike="noStrike">
              <a:solidFill>
                <a:sysClr val="windowText" lastClr="000000"/>
              </a:solidFill>
              <a:effectLst/>
              <a:latin typeface="+mn-lt"/>
              <a:ea typeface="+mn-ea"/>
              <a:cs typeface="+mn-cs"/>
            </a:rPr>
            <a:t>Subject to the Constraints: H71:H82&gt;=60000, H83=E83</a:t>
          </a:r>
        </a:p>
        <a:p>
          <a:pPr lvl="2" rtl="0" fontAlgn="base"/>
          <a:r>
            <a:rPr lang="en-US" sz="1200" b="0" i="0" u="none" strike="noStrike">
              <a:solidFill>
                <a:sysClr val="windowText" lastClr="000000"/>
              </a:solidFill>
              <a:effectLst/>
              <a:latin typeface="+mn-lt"/>
              <a:ea typeface="+mn-ea"/>
              <a:cs typeface="+mn-cs"/>
            </a:rPr>
            <a:t>Select a Solving Method: GRG Nonlinear</a:t>
          </a:r>
        </a:p>
      </xdr:txBody>
    </xdr:sp>
    <xdr:clientData/>
  </xdr:twoCellAnchor>
  <xdr:twoCellAnchor>
    <xdr:from>
      <xdr:col>11</xdr:col>
      <xdr:colOff>0</xdr:colOff>
      <xdr:row>83</xdr:row>
      <xdr:rowOff>0</xdr:rowOff>
    </xdr:from>
    <xdr:to>
      <xdr:col>21</xdr:col>
      <xdr:colOff>400050</xdr:colOff>
      <xdr:row>107</xdr:row>
      <xdr:rowOff>76200</xdr:rowOff>
    </xdr:to>
    <xdr:sp macro="" textlink="">
      <xdr:nvSpPr>
        <xdr:cNvPr id="5" name="Speech Bubble: Rectangle with Corners Rounded 4">
          <a:extLst>
            <a:ext uri="{FF2B5EF4-FFF2-40B4-BE49-F238E27FC236}">
              <a16:creationId xmlns:a16="http://schemas.microsoft.com/office/drawing/2014/main" id="{6C10CB04-635E-45B3-9F5F-8DDA6AF3223B}"/>
            </a:ext>
          </a:extLst>
        </xdr:cNvPr>
        <xdr:cNvSpPr/>
      </xdr:nvSpPr>
      <xdr:spPr>
        <a:xfrm>
          <a:off x="11601450" y="20554950"/>
          <a:ext cx="7962900" cy="6019800"/>
        </a:xfrm>
        <a:prstGeom prst="wedgeRoundRectCallou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05 Schedule Optimization:</a:t>
          </a:r>
          <a:r>
            <a:rPr lang="en-US" sz="1200" b="0" i="0" u="none" strike="noStrike">
              <a:solidFill>
                <a:sysClr val="windowText" lastClr="000000"/>
              </a:solidFill>
              <a:effectLst/>
              <a:latin typeface="+mn-lt"/>
              <a:ea typeface="+mn-ea"/>
              <a:cs typeface="+mn-cs"/>
            </a:rPr>
            <a:t> The number of workers needed for a bank is provided. For example, 17 workers are needed on Monday, 13 workers are needed on Tuesday, 15 workers are needed on Wednesday, and so on. All bank employees work five consecutive days. What is the minimum number of employees that this bank can have to meet its labor requirement?</a:t>
          </a:r>
        </a:p>
        <a:p>
          <a:pPr lvl="1" rtl="0" fontAlgn="base"/>
          <a:r>
            <a:rPr lang="en-US" sz="1200" b="0" i="0" u="none" strike="noStrike">
              <a:solidFill>
                <a:sysClr val="windowText" lastClr="000000"/>
              </a:solidFill>
              <a:effectLst/>
              <a:latin typeface="+mn-lt"/>
              <a:ea typeface="+mn-ea"/>
              <a:cs typeface="+mn-cs"/>
            </a:rPr>
            <a:t>The condition is, Total Number of Employee &gt;= Number Needed is given in row 96 and 98.</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C100</a:t>
          </a:r>
        </a:p>
        <a:p>
          <a:pPr lvl="2" rtl="0" fontAlgn="base"/>
          <a:r>
            <a:rPr lang="en-US" sz="1200" b="0" i="0" u="none" strike="noStrike">
              <a:solidFill>
                <a:sysClr val="windowText" lastClr="000000"/>
              </a:solidFill>
              <a:effectLst/>
              <a:latin typeface="+mn-lt"/>
              <a:ea typeface="+mn-ea"/>
              <a:cs typeface="+mn-cs"/>
            </a:rPr>
            <a:t>To: Min</a:t>
          </a:r>
        </a:p>
        <a:p>
          <a:pPr lvl="2" rtl="0" fontAlgn="base"/>
          <a:r>
            <a:rPr lang="en-US" sz="1200" b="0" i="0" u="none" strike="noStrike">
              <a:solidFill>
                <a:sysClr val="windowText" lastClr="000000"/>
              </a:solidFill>
              <a:effectLst/>
              <a:latin typeface="+mn-lt"/>
              <a:ea typeface="+mn-ea"/>
              <a:cs typeface="+mn-cs"/>
            </a:rPr>
            <a:t>By Changing Variable Cells: B88:B94</a:t>
          </a:r>
        </a:p>
        <a:p>
          <a:pPr lvl="2" rtl="0" fontAlgn="base"/>
          <a:r>
            <a:rPr lang="en-US" sz="1200" b="0" i="0" u="none" strike="noStrike">
              <a:solidFill>
                <a:sysClr val="windowText" lastClr="000000"/>
              </a:solidFill>
              <a:effectLst/>
              <a:latin typeface="+mn-lt"/>
              <a:ea typeface="+mn-ea"/>
              <a:cs typeface="+mn-cs"/>
            </a:rPr>
            <a:t>Subject to the Constraints: B88:B94=integer, D96:J96&gt;=D98:J98</a:t>
          </a:r>
        </a:p>
        <a:p>
          <a:pPr lvl="2" rtl="0" fontAlgn="base"/>
          <a:r>
            <a:rPr lang="en-US" sz="1200" b="0" i="0" u="none" strike="noStrike">
              <a:solidFill>
                <a:sysClr val="windowText" lastClr="000000"/>
              </a:solidFill>
              <a:effectLst/>
              <a:latin typeface="+mn-lt"/>
              <a:ea typeface="+mn-ea"/>
              <a:cs typeface="+mn-cs"/>
            </a:rPr>
            <a:t>Select a Solving Method: Simplex LP</a:t>
          </a:r>
        </a:p>
        <a:p>
          <a:pPr rtl="0" fontAlgn="base"/>
          <a:r>
            <a:rPr lang="en-US" sz="1200" b="1" i="0" u="none" strike="noStrike">
              <a:solidFill>
                <a:sysClr val="windowText" lastClr="000000"/>
              </a:solidFill>
              <a:effectLst/>
              <a:latin typeface="+mn-lt"/>
              <a:ea typeface="+mn-ea"/>
              <a:cs typeface="+mn-cs"/>
            </a:rPr>
            <a:t>Exercise 06 Project Selection:</a:t>
          </a:r>
          <a:r>
            <a:rPr lang="en-US" sz="1200" b="0" i="0" u="none" strike="noStrike">
              <a:solidFill>
                <a:sysClr val="windowText" lastClr="000000"/>
              </a:solidFill>
              <a:effectLst/>
              <a:latin typeface="+mn-lt"/>
              <a:ea typeface="+mn-ea"/>
              <a:cs typeface="+mn-cs"/>
            </a:rPr>
            <a:t> Use an excel solver to determine which projects should be undertaken in excel. </a:t>
          </a:r>
        </a:p>
        <a:p>
          <a:pPr lvl="1" rtl="0" fontAlgn="base"/>
          <a:r>
            <a:rPr lang="en-US" sz="1200" b="0" i="0" u="none" strike="noStrike">
              <a:solidFill>
                <a:sysClr val="windowText" lastClr="000000"/>
              </a:solidFill>
              <a:effectLst/>
              <a:latin typeface="+mn-lt"/>
              <a:ea typeface="+mn-ea"/>
              <a:cs typeface="+mn-cs"/>
            </a:rPr>
            <a:t>Firstly, find the maximum value of NPV.</a:t>
          </a:r>
        </a:p>
        <a:p>
          <a:pPr lvl="1" rtl="0" fontAlgn="base"/>
          <a:r>
            <a:rPr lang="en-US" sz="1200" b="0" i="0" u="none" strike="noStrike">
              <a:solidFill>
                <a:sysClr val="windowText" lastClr="000000"/>
              </a:solidFill>
              <a:effectLst/>
              <a:latin typeface="+mn-lt"/>
              <a:ea typeface="+mn-ea"/>
              <a:cs typeface="+mn-cs"/>
            </a:rPr>
            <a:t>Secondly, the year 1 value should be &lt;=50,000,000 and year 2 value should be &lt;=20,000,000.</a:t>
          </a:r>
        </a:p>
        <a:p>
          <a:pPr lvl="1" rtl="0" fontAlgn="base"/>
          <a:r>
            <a:rPr lang="en-US" sz="1200" b="0" i="0" u="none" strike="noStrike">
              <a:solidFill>
                <a:sysClr val="windowText" lastClr="000000"/>
              </a:solidFill>
              <a:effectLst/>
              <a:latin typeface="+mn-lt"/>
              <a:ea typeface="+mn-ea"/>
              <a:cs typeface="+mn-cs"/>
            </a:rPr>
            <a:t>Thirdly, selecting a project means 1 and discarding means 0. So use this.</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C104</a:t>
          </a:r>
        </a:p>
        <a:p>
          <a:pPr lvl="2" rtl="0" fontAlgn="base"/>
          <a:r>
            <a:rPr lang="en-US" sz="1200" b="0" i="0" u="none" strike="noStrike">
              <a:solidFill>
                <a:sysClr val="windowText" lastClr="000000"/>
              </a:solidFill>
              <a:effectLst/>
              <a:latin typeface="+mn-lt"/>
              <a:ea typeface="+mn-ea"/>
              <a:cs typeface="+mn-cs"/>
            </a:rPr>
            <a:t>To: Max</a:t>
          </a:r>
        </a:p>
        <a:p>
          <a:pPr lvl="2" rtl="0" fontAlgn="base"/>
          <a:r>
            <a:rPr lang="en-US" sz="1200" b="0" i="0" u="none" strike="noStrike">
              <a:solidFill>
                <a:sysClr val="windowText" lastClr="000000"/>
              </a:solidFill>
              <a:effectLst/>
              <a:latin typeface="+mn-lt"/>
              <a:ea typeface="+mn-ea"/>
              <a:cs typeface="+mn-cs"/>
            </a:rPr>
            <a:t>By Changing Variable Cells: B107:B115</a:t>
          </a:r>
        </a:p>
        <a:p>
          <a:pPr lvl="2" rtl="0" fontAlgn="base"/>
          <a:r>
            <a:rPr lang="en-US" sz="1200" b="0" i="0" u="none" strike="noStrike">
              <a:solidFill>
                <a:sysClr val="windowText" lastClr="000000"/>
              </a:solidFill>
              <a:effectLst/>
              <a:latin typeface="+mn-lt"/>
              <a:ea typeface="+mn-ea"/>
              <a:cs typeface="+mn-cs"/>
            </a:rPr>
            <a:t>Subject to the Constraints: B107:B115=binary, C117:D117&lt;=C118:D118</a:t>
          </a:r>
        </a:p>
        <a:p>
          <a:pPr lvl="2" rtl="0" fontAlgn="base"/>
          <a:r>
            <a:rPr lang="en-US" sz="1200" b="0" i="0" u="none" strike="noStrike">
              <a:solidFill>
                <a:sysClr val="windowText" lastClr="000000"/>
              </a:solidFill>
              <a:effectLst/>
              <a:latin typeface="+mn-lt"/>
              <a:ea typeface="+mn-ea"/>
              <a:cs typeface="+mn-cs"/>
            </a:rPr>
            <a:t>Select a Solving Method: Simplex LP</a:t>
          </a:r>
        </a:p>
      </xdr:txBody>
    </xdr:sp>
    <xdr:clientData/>
  </xdr:twoCellAnchor>
  <xdr:twoCellAnchor>
    <xdr:from>
      <xdr:col>8</xdr:col>
      <xdr:colOff>447675</xdr:colOff>
      <xdr:row>110</xdr:row>
      <xdr:rowOff>133349</xdr:rowOff>
    </xdr:from>
    <xdr:to>
      <xdr:col>22</xdr:col>
      <xdr:colOff>28575</xdr:colOff>
      <xdr:row>132</xdr:row>
      <xdr:rowOff>104774</xdr:rowOff>
    </xdr:to>
    <xdr:sp macro="" textlink="">
      <xdr:nvSpPr>
        <xdr:cNvPr id="6" name="Speech Bubble: Rectangle with Corners Rounded 5">
          <a:extLst>
            <a:ext uri="{FF2B5EF4-FFF2-40B4-BE49-F238E27FC236}">
              <a16:creationId xmlns:a16="http://schemas.microsoft.com/office/drawing/2014/main" id="{61E22427-FB63-4072-9924-9C421B51F7C8}"/>
            </a:ext>
          </a:extLst>
        </xdr:cNvPr>
        <xdr:cNvSpPr/>
      </xdr:nvSpPr>
      <xdr:spPr>
        <a:xfrm>
          <a:off x="9496425" y="27374849"/>
          <a:ext cx="10306050" cy="5419725"/>
        </a:xfrm>
        <a:prstGeom prst="wedgeRoundRectCallout">
          <a:avLst>
            <a:gd name="adj1" fmla="val -33495"/>
            <a:gd name="adj2" fmla="val 53888"/>
            <a:gd name="adj3" fmla="val 16667"/>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rtl="0" fontAlgn="base"/>
          <a:r>
            <a:rPr lang="en-US" sz="1200" b="1" i="0" u="none" strike="noStrike">
              <a:solidFill>
                <a:sysClr val="windowText" lastClr="000000"/>
              </a:solidFill>
              <a:effectLst/>
              <a:latin typeface="+mn-lt"/>
              <a:ea typeface="+mn-ea"/>
              <a:cs typeface="+mn-cs"/>
            </a:rPr>
            <a:t>Exercise 07 Investment Portfolio Optimization Based on Total Yield: </a:t>
          </a:r>
          <a:r>
            <a:rPr lang="en-US" sz="1200" b="0" i="0" u="none" strike="noStrike">
              <a:solidFill>
                <a:sysClr val="windowText" lastClr="000000"/>
              </a:solidFill>
              <a:effectLst/>
              <a:latin typeface="+mn-lt"/>
              <a:ea typeface="+mn-ea"/>
              <a:cs typeface="+mn-cs"/>
            </a:rPr>
            <a:t>The credit union is going to invest $5 million in various sectors. Find how this amount will be allocated using the following conditions.</a:t>
          </a:r>
          <a:endParaRPr lang="en-US" sz="1200" b="1" i="0" u="none" strike="noStrike">
            <a:solidFill>
              <a:sysClr val="windowText" lastClr="000000"/>
            </a:solidFill>
            <a:effectLst/>
            <a:latin typeface="+mn-lt"/>
            <a:ea typeface="+mn-ea"/>
            <a:cs typeface="+mn-cs"/>
          </a:endParaRPr>
        </a:p>
        <a:p>
          <a:pPr rtl="0" fontAlgn="base"/>
          <a:r>
            <a:rPr lang="en-US" sz="1200" b="0" i="0" u="none" strike="noStrike">
              <a:solidFill>
                <a:sysClr val="windowText" lastClr="000000"/>
              </a:solidFill>
              <a:effectLst/>
              <a:latin typeface="+mn-lt"/>
              <a:ea typeface="+mn-ea"/>
              <a:cs typeface="+mn-cs"/>
            </a:rPr>
            <a:t>Firstly, the amount that the credit union will invest in new-car loans must be at least three times the amount that the credit union will invest in used-car loans. The reason is: that used car loans are riskier investments.</a:t>
          </a:r>
        </a:p>
        <a:p>
          <a:pPr rtl="0" fontAlgn="base"/>
          <a:r>
            <a:rPr lang="en-US" sz="1200" b="0" i="0" u="none" strike="noStrike">
              <a:solidFill>
                <a:sysClr val="windowText" lastClr="000000"/>
              </a:solidFill>
              <a:effectLst/>
              <a:latin typeface="+mn-lt"/>
              <a:ea typeface="+mn-ea"/>
              <a:cs typeface="+mn-cs"/>
            </a:rPr>
            <a:t>Secondly, car loans should make up at least 15% of the portfolio.</a:t>
          </a:r>
        </a:p>
        <a:p>
          <a:pPr rtl="0" fontAlgn="base"/>
          <a:r>
            <a:rPr lang="en-US" sz="1200" b="0" i="0" u="none" strike="noStrike">
              <a:solidFill>
                <a:sysClr val="windowText" lastClr="000000"/>
              </a:solidFill>
              <a:effectLst/>
              <a:latin typeface="+mn-lt"/>
              <a:ea typeface="+mn-ea"/>
              <a:cs typeface="+mn-cs"/>
            </a:rPr>
            <a:t>Thirdly, unsecured loans should make up no more than 25% of the portfolio.</a:t>
          </a:r>
        </a:p>
        <a:p>
          <a:pPr rtl="0" fontAlgn="base"/>
          <a:r>
            <a:rPr lang="en-US" sz="1200" b="0" i="0" u="none" strike="noStrike">
              <a:solidFill>
                <a:sysClr val="windowText" lastClr="000000"/>
              </a:solidFill>
              <a:effectLst/>
              <a:latin typeface="+mn-lt"/>
              <a:ea typeface="+mn-ea"/>
              <a:cs typeface="+mn-cs"/>
            </a:rPr>
            <a:t>Then, at least 10% of the portfolio should be in bank CDs.</a:t>
          </a:r>
        </a:p>
        <a:p>
          <a:pPr rtl="0" fontAlgn="base"/>
          <a:r>
            <a:rPr lang="en-US" sz="1200" b="0" i="0" u="none" strike="noStrike">
              <a:solidFill>
                <a:sysClr val="windowText" lastClr="000000"/>
              </a:solidFill>
              <a:effectLst/>
              <a:latin typeface="+mn-lt"/>
              <a:ea typeface="+mn-ea"/>
              <a:cs typeface="+mn-cs"/>
            </a:rPr>
            <a:t>Afterward, the total amount invested is $5,000,000.</a:t>
          </a:r>
        </a:p>
        <a:p>
          <a:pPr rtl="0" fontAlgn="base"/>
          <a:r>
            <a:rPr lang="en-US" sz="1200" b="0" i="0" u="none" strike="noStrike">
              <a:solidFill>
                <a:sysClr val="windowText" lastClr="000000"/>
              </a:solidFill>
              <a:effectLst/>
              <a:latin typeface="+mn-lt"/>
              <a:ea typeface="+mn-ea"/>
              <a:cs typeface="+mn-cs"/>
            </a:rPr>
            <a:t>Finally, all investments should be positive or zero.</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C132</a:t>
          </a:r>
        </a:p>
        <a:p>
          <a:pPr lvl="2" rtl="0" fontAlgn="base"/>
          <a:r>
            <a:rPr lang="en-US" sz="1200" b="0" i="0" u="none" strike="noStrike">
              <a:solidFill>
                <a:sysClr val="windowText" lastClr="000000"/>
              </a:solidFill>
              <a:effectLst/>
              <a:latin typeface="+mn-lt"/>
              <a:ea typeface="+mn-ea"/>
              <a:cs typeface="+mn-cs"/>
            </a:rPr>
            <a:t>To: Max</a:t>
          </a:r>
        </a:p>
        <a:p>
          <a:pPr lvl="2" rtl="0" fontAlgn="base"/>
          <a:r>
            <a:rPr lang="en-US" sz="1200" b="0" i="0" u="none" strike="noStrike">
              <a:solidFill>
                <a:sysClr val="windowText" lastClr="000000"/>
              </a:solidFill>
              <a:effectLst/>
              <a:latin typeface="+mn-lt"/>
              <a:ea typeface="+mn-ea"/>
              <a:cs typeface="+mn-cs"/>
            </a:rPr>
            <a:t>By Changing Variable Cells: D125:D129</a:t>
          </a:r>
        </a:p>
        <a:p>
          <a:pPr lvl="2" rtl="0" fontAlgn="base"/>
          <a:r>
            <a:rPr lang="en-US" sz="1200" b="0" i="0" u="none" strike="noStrike">
              <a:solidFill>
                <a:sysClr val="windowText" lastClr="000000"/>
              </a:solidFill>
              <a:effectLst/>
              <a:latin typeface="+mn-lt"/>
              <a:ea typeface="+mn-ea"/>
              <a:cs typeface="+mn-cs"/>
            </a:rPr>
            <a:t>Subject to the Constraints: D125&gt;=D126*3, D130=C122, F128&lt;=0.25, F129&gt;=0.1, F132&gt;=0.15</a:t>
          </a:r>
        </a:p>
        <a:p>
          <a:pPr lvl="2" rtl="0" fontAlgn="base"/>
          <a:r>
            <a:rPr lang="en-US" sz="1200" b="0" i="0" u="none" strike="noStrike">
              <a:solidFill>
                <a:sysClr val="windowText" lastClr="000000"/>
              </a:solidFill>
              <a:effectLst/>
              <a:latin typeface="+mn-lt"/>
              <a:ea typeface="+mn-ea"/>
              <a:cs typeface="+mn-cs"/>
            </a:rPr>
            <a:t>Select a Solving Method: GRG Nonlinear</a:t>
          </a:r>
        </a:p>
        <a:p>
          <a:pPr rtl="0" fontAlgn="base"/>
          <a:r>
            <a:rPr lang="en-US" sz="1200" b="1" i="0" u="none" strike="noStrike">
              <a:solidFill>
                <a:sysClr val="windowText" lastClr="000000"/>
              </a:solidFill>
              <a:effectLst/>
              <a:latin typeface="+mn-lt"/>
              <a:ea typeface="+mn-ea"/>
              <a:cs typeface="+mn-cs"/>
            </a:rPr>
            <a:t>Exercise 08 Assign Department:</a:t>
          </a:r>
          <a:r>
            <a:rPr lang="en-US" sz="1200" b="0" i="0" u="none" strike="noStrike">
              <a:solidFill>
                <a:sysClr val="windowText" lastClr="000000"/>
              </a:solidFill>
              <a:effectLst/>
              <a:latin typeface="+mn-lt"/>
              <a:ea typeface="+mn-ea"/>
              <a:cs typeface="+mn-cs"/>
            </a:rPr>
            <a:t> Need to assign 40 employees to four Departments. The head of each department has rated each employee’s competence on a 0 to 10 scale (10 equals most competent). Each employee has rated his satisfaction with each job department (again on a 0 to 10 scale). Data is recorded in the Problem worksheet. You are going to assign between 8 to 12 people to each department. The problem is how you can assign employees to workgroups to maximize total satisfaction and ensure that each division has the required number of employees.</a:t>
          </a:r>
        </a:p>
        <a:p>
          <a:pPr lvl="1" rtl="0" fontAlgn="base"/>
          <a:r>
            <a:rPr lang="en-US" sz="1200" b="1" i="0" u="none" strike="noStrike">
              <a:solidFill>
                <a:sysClr val="windowText" lastClr="000000"/>
              </a:solidFill>
              <a:effectLst/>
              <a:latin typeface="+mn-lt"/>
              <a:ea typeface="+mn-ea"/>
              <a:cs typeface="+mn-cs"/>
            </a:rPr>
            <a:t>Solution:</a:t>
          </a:r>
          <a:r>
            <a:rPr lang="en-US" sz="1200" b="0" i="0" u="none" strike="noStrike">
              <a:solidFill>
                <a:sysClr val="windowText" lastClr="000000"/>
              </a:solidFill>
              <a:effectLst/>
              <a:latin typeface="+mn-lt"/>
              <a:ea typeface="+mn-ea"/>
              <a:cs typeface="+mn-cs"/>
            </a:rPr>
            <a:t> Solver Parameters are as follows</a:t>
          </a:r>
        </a:p>
        <a:p>
          <a:pPr lvl="2" rtl="0" fontAlgn="base"/>
          <a:r>
            <a:rPr lang="en-US" sz="1200" b="0" i="0" u="none" strike="noStrike">
              <a:solidFill>
                <a:sysClr val="windowText" lastClr="000000"/>
              </a:solidFill>
              <a:effectLst/>
              <a:latin typeface="+mn-lt"/>
              <a:ea typeface="+mn-ea"/>
              <a:cs typeface="+mn-cs"/>
            </a:rPr>
            <a:t>Set Objective: P146</a:t>
          </a:r>
        </a:p>
        <a:p>
          <a:pPr lvl="2" rtl="0" fontAlgn="base"/>
          <a:r>
            <a:rPr lang="en-US" sz="1200" b="0" i="0" u="none" strike="noStrike">
              <a:solidFill>
                <a:sysClr val="windowText" lastClr="000000"/>
              </a:solidFill>
              <a:effectLst/>
              <a:latin typeface="+mn-lt"/>
              <a:ea typeface="+mn-ea"/>
              <a:cs typeface="+mn-cs"/>
            </a:rPr>
            <a:t>To: Max</a:t>
          </a:r>
        </a:p>
        <a:p>
          <a:pPr lvl="2" rtl="0" fontAlgn="base"/>
          <a:r>
            <a:rPr lang="en-US" sz="1200" b="0" i="0" u="none" strike="noStrike">
              <a:solidFill>
                <a:sysClr val="windowText" lastClr="000000"/>
              </a:solidFill>
              <a:effectLst/>
              <a:latin typeface="+mn-lt"/>
              <a:ea typeface="+mn-ea"/>
              <a:cs typeface="+mn-cs"/>
            </a:rPr>
            <a:t>By Changing Variable Cells: C140:C179</a:t>
          </a:r>
        </a:p>
        <a:p>
          <a:pPr lvl="2" rtl="0" fontAlgn="base"/>
          <a:r>
            <a:rPr lang="en-US" sz="1200" b="0" i="0" u="none" strike="noStrike">
              <a:solidFill>
                <a:sysClr val="windowText" lastClr="000000"/>
              </a:solidFill>
              <a:effectLst/>
              <a:latin typeface="+mn-lt"/>
              <a:ea typeface="+mn-ea"/>
              <a:cs typeface="+mn-cs"/>
            </a:rPr>
            <a:t>Subject to the Constraints: C140:C179&lt;=4, C140:C179=integer, C140:C179&gt;=1, Q141:Q144=0</a:t>
          </a:r>
        </a:p>
        <a:p>
          <a:pPr lvl="2" rtl="0" fontAlgn="base"/>
          <a:r>
            <a:rPr lang="en-US" sz="1200" b="0" i="0" u="none" strike="noStrike">
              <a:solidFill>
                <a:sysClr val="windowText" lastClr="000000"/>
              </a:solidFill>
              <a:effectLst/>
              <a:latin typeface="+mn-lt"/>
              <a:ea typeface="+mn-ea"/>
              <a:cs typeface="+mn-cs"/>
            </a:rPr>
            <a:t>Select a Solving Method: Evolutionary</a:t>
          </a:r>
        </a:p>
        <a:p>
          <a:pPr algn="l"/>
          <a:endParaRPr lang="en-US" sz="12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AC85-C275-4096-A7F9-76330A4991FF}">
  <dimension ref="B2:Q179"/>
  <sheetViews>
    <sheetView showGridLines="0" tabSelected="1" workbookViewId="0">
      <selection activeCell="H6" sqref="H6"/>
    </sheetView>
  </sheetViews>
  <sheetFormatPr defaultRowHeight="20.100000000000001" customHeight="1" x14ac:dyDescent="0.25"/>
  <cols>
    <col min="1" max="1" width="3.7109375" style="39" customWidth="1"/>
    <col min="2" max="2" width="19.85546875" style="39" customWidth="1"/>
    <col min="3" max="3" width="17.42578125" style="39" bestFit="1" customWidth="1"/>
    <col min="4" max="4" width="18.140625" style="39" bestFit="1" customWidth="1"/>
    <col min="5" max="5" width="16.85546875" style="39" bestFit="1" customWidth="1"/>
    <col min="6" max="6" width="17" style="39" bestFit="1" customWidth="1"/>
    <col min="7" max="7" width="19" style="39" bestFit="1" customWidth="1"/>
    <col min="8" max="8" width="22.140625" style="39" bestFit="1" customWidth="1"/>
    <col min="9" max="9" width="15" style="39" bestFit="1" customWidth="1"/>
    <col min="10" max="10" width="14.140625" style="39" bestFit="1" customWidth="1"/>
    <col min="11" max="11" width="9.140625" style="39"/>
    <col min="12" max="12" width="13.7109375" style="39" bestFit="1" customWidth="1"/>
    <col min="13" max="13" width="12.42578125" style="39" bestFit="1" customWidth="1"/>
    <col min="14" max="14" width="13.7109375" style="39" bestFit="1" customWidth="1"/>
    <col min="15" max="15" width="18.28515625" style="39" bestFit="1" customWidth="1"/>
    <col min="16" max="16" width="9.5703125" style="39" bestFit="1" customWidth="1"/>
    <col min="17" max="16384" width="9.140625" style="39"/>
  </cols>
  <sheetData>
    <row r="2" spans="2:10" ht="20.100000000000001" customHeight="1" thickBot="1" x14ac:dyDescent="0.3">
      <c r="B2" s="78" t="s">
        <v>0</v>
      </c>
      <c r="C2" s="78"/>
      <c r="D2" s="78"/>
      <c r="E2" s="78"/>
      <c r="F2" s="78"/>
      <c r="G2" s="78"/>
    </row>
    <row r="3" spans="2:10" ht="20.100000000000001" customHeight="1" thickTop="1" x14ac:dyDescent="0.25"/>
    <row r="4" spans="2:10" ht="20.100000000000001" customHeight="1" x14ac:dyDescent="0.25">
      <c r="B4" s="5" t="s">
        <v>20</v>
      </c>
      <c r="J4" s="40"/>
    </row>
    <row r="5" spans="2:10" ht="20.100000000000001" customHeight="1" x14ac:dyDescent="0.25">
      <c r="B5" s="13" t="s">
        <v>1</v>
      </c>
      <c r="C5" s="14" t="s">
        <v>2</v>
      </c>
      <c r="D5" s="14" t="s">
        <v>3</v>
      </c>
      <c r="E5" s="14" t="s">
        <v>4</v>
      </c>
      <c r="F5" s="38"/>
      <c r="G5" s="38"/>
    </row>
    <row r="6" spans="2:10" ht="20.100000000000001" customHeight="1" x14ac:dyDescent="0.25">
      <c r="B6" s="6" t="s">
        <v>5</v>
      </c>
      <c r="C6" s="8">
        <v>58</v>
      </c>
      <c r="D6" s="8">
        <v>47</v>
      </c>
      <c r="E6" s="8">
        <v>108</v>
      </c>
      <c r="F6" s="38"/>
      <c r="G6" s="38"/>
    </row>
    <row r="7" spans="2:10" ht="20.100000000000001" customHeight="1" x14ac:dyDescent="0.25">
      <c r="B7" s="6" t="s">
        <v>6</v>
      </c>
      <c r="C7" s="8">
        <v>87</v>
      </c>
      <c r="D7" s="8">
        <v>46</v>
      </c>
      <c r="E7" s="8">
        <v>100</v>
      </c>
      <c r="F7" s="38"/>
      <c r="G7" s="38"/>
    </row>
    <row r="8" spans="2:10" ht="20.100000000000001" customHeight="1" x14ac:dyDescent="0.25">
      <c r="B8" s="6" t="s">
        <v>7</v>
      </c>
      <c r="C8" s="8">
        <v>121</v>
      </c>
      <c r="D8" s="8">
        <v>30</v>
      </c>
      <c r="E8" s="8">
        <v>57</v>
      </c>
      <c r="F8" s="38"/>
      <c r="G8" s="38"/>
    </row>
    <row r="9" spans="2:10" ht="20.100000000000001" customHeight="1" x14ac:dyDescent="0.25">
      <c r="B9" s="6" t="s">
        <v>8</v>
      </c>
      <c r="C9" s="8">
        <v>149</v>
      </c>
      <c r="D9" s="8">
        <v>66</v>
      </c>
      <c r="E9" s="8">
        <v>83</v>
      </c>
      <c r="F9" s="38"/>
      <c r="G9" s="38"/>
    </row>
    <row r="10" spans="2:10" ht="20.100000000000001" customHeight="1" x14ac:dyDescent="0.25">
      <c r="B10" s="6" t="s">
        <v>9</v>
      </c>
      <c r="C10" s="8">
        <v>62</v>
      </c>
      <c r="D10" s="8">
        <v>115</v>
      </c>
      <c r="E10" s="8">
        <v>164</v>
      </c>
      <c r="F10" s="38"/>
      <c r="G10" s="38"/>
    </row>
    <row r="11" spans="2:10" ht="20.100000000000001" customHeight="1" x14ac:dyDescent="0.25">
      <c r="B11" s="6" t="s">
        <v>10</v>
      </c>
      <c r="C11" s="8">
        <v>128</v>
      </c>
      <c r="D11" s="8">
        <v>28</v>
      </c>
      <c r="E11" s="8">
        <v>38</v>
      </c>
      <c r="F11" s="38"/>
      <c r="G11" s="38"/>
    </row>
    <row r="12" spans="2:10" ht="20.100000000000001" customHeight="1" x14ac:dyDescent="0.25">
      <c r="B12" s="38"/>
      <c r="C12" s="38"/>
      <c r="D12" s="38"/>
      <c r="E12" s="38"/>
      <c r="F12" s="38"/>
      <c r="G12" s="38"/>
    </row>
    <row r="13" spans="2:10" ht="20.100000000000001" customHeight="1" x14ac:dyDescent="0.25">
      <c r="B13" s="79" t="s">
        <v>11</v>
      </c>
      <c r="C13" s="80" t="s">
        <v>12</v>
      </c>
      <c r="D13" s="80" t="s">
        <v>13</v>
      </c>
      <c r="E13" s="80"/>
      <c r="F13" s="80"/>
      <c r="G13" s="80" t="s">
        <v>14</v>
      </c>
    </row>
    <row r="14" spans="2:10" ht="20.100000000000001" customHeight="1" x14ac:dyDescent="0.25">
      <c r="B14" s="79"/>
      <c r="C14" s="80"/>
      <c r="D14" s="7" t="s">
        <v>2</v>
      </c>
      <c r="E14" s="7" t="s">
        <v>3</v>
      </c>
      <c r="F14" s="7" t="s">
        <v>4</v>
      </c>
      <c r="G14" s="80"/>
    </row>
    <row r="15" spans="2:10" ht="20.100000000000001" customHeight="1" x14ac:dyDescent="0.25">
      <c r="B15" s="41" t="s">
        <v>5</v>
      </c>
      <c r="C15" s="41">
        <v>150</v>
      </c>
      <c r="D15" s="9"/>
      <c r="E15" s="9"/>
      <c r="F15" s="9"/>
      <c r="G15" s="42">
        <f t="shared" ref="G15:G20" si="0">SUM(D15:F15)</f>
        <v>0</v>
      </c>
    </row>
    <row r="16" spans="2:10" ht="20.100000000000001" customHeight="1" x14ac:dyDescent="0.25">
      <c r="B16" s="41" t="s">
        <v>6</v>
      </c>
      <c r="C16" s="41">
        <v>225</v>
      </c>
      <c r="D16" s="9"/>
      <c r="E16" s="9"/>
      <c r="F16" s="9"/>
      <c r="G16" s="42">
        <f t="shared" si="0"/>
        <v>0</v>
      </c>
    </row>
    <row r="17" spans="2:10" ht="20.100000000000001" customHeight="1" x14ac:dyDescent="0.25">
      <c r="B17" s="41" t="s">
        <v>7</v>
      </c>
      <c r="C17" s="41">
        <v>100</v>
      </c>
      <c r="D17" s="9"/>
      <c r="E17" s="9"/>
      <c r="F17" s="9"/>
      <c r="G17" s="42">
        <f t="shared" si="0"/>
        <v>0</v>
      </c>
    </row>
    <row r="18" spans="2:10" ht="20.100000000000001" customHeight="1" x14ac:dyDescent="0.25">
      <c r="B18" s="41" t="s">
        <v>8</v>
      </c>
      <c r="C18" s="41">
        <v>250</v>
      </c>
      <c r="D18" s="9"/>
      <c r="E18" s="9"/>
      <c r="F18" s="9"/>
      <c r="G18" s="42">
        <f t="shared" si="0"/>
        <v>0</v>
      </c>
    </row>
    <row r="19" spans="2:10" ht="20.100000000000001" customHeight="1" x14ac:dyDescent="0.25">
      <c r="B19" s="41" t="s">
        <v>9</v>
      </c>
      <c r="C19" s="41">
        <v>120</v>
      </c>
      <c r="D19" s="9"/>
      <c r="E19" s="9"/>
      <c r="F19" s="9"/>
      <c r="G19" s="42">
        <f t="shared" si="0"/>
        <v>0</v>
      </c>
    </row>
    <row r="20" spans="2:10" ht="20.100000000000001" customHeight="1" x14ac:dyDescent="0.25">
      <c r="B20" s="41" t="s">
        <v>10</v>
      </c>
      <c r="C20" s="41">
        <v>150</v>
      </c>
      <c r="D20" s="9"/>
      <c r="E20" s="9"/>
      <c r="F20" s="9"/>
      <c r="G20" s="42">
        <f t="shared" si="0"/>
        <v>0</v>
      </c>
    </row>
    <row r="21" spans="2:10" ht="20.100000000000001" customHeight="1" x14ac:dyDescent="0.25">
      <c r="B21" s="32" t="s">
        <v>15</v>
      </c>
      <c r="C21" s="32">
        <f>SUM(C15:C20)</f>
        <v>995</v>
      </c>
      <c r="D21" s="10">
        <f>SUM(D15:D20)</f>
        <v>0</v>
      </c>
      <c r="E21" s="10">
        <f>SUM(E15:E20)</f>
        <v>0</v>
      </c>
      <c r="F21" s="10">
        <f>SUM(F15:F20)</f>
        <v>0</v>
      </c>
      <c r="G21" s="11">
        <f>SUM(G15:G20)</f>
        <v>0</v>
      </c>
    </row>
    <row r="22" spans="2:10" ht="20.100000000000001" customHeight="1" x14ac:dyDescent="0.25">
      <c r="B22" s="38"/>
      <c r="C22" s="38"/>
      <c r="D22" s="38"/>
      <c r="E22" s="38"/>
      <c r="F22" s="38"/>
      <c r="G22" s="38"/>
    </row>
    <row r="23" spans="2:10" ht="20.100000000000001" customHeight="1" x14ac:dyDescent="0.25">
      <c r="B23" s="81" t="s">
        <v>16</v>
      </c>
      <c r="C23" s="81"/>
      <c r="D23" s="81"/>
      <c r="E23" s="81"/>
      <c r="F23" s="81"/>
      <c r="G23" s="81"/>
    </row>
    <row r="24" spans="2:10" ht="20.100000000000001" customHeight="1" x14ac:dyDescent="0.25">
      <c r="B24" s="2" t="s">
        <v>17</v>
      </c>
      <c r="C24" s="43"/>
      <c r="D24" s="41">
        <v>400</v>
      </c>
      <c r="E24" s="41">
        <v>350</v>
      </c>
      <c r="F24" s="41">
        <v>500</v>
      </c>
      <c r="G24" s="43"/>
    </row>
    <row r="25" spans="2:10" ht="20.100000000000001" customHeight="1" x14ac:dyDescent="0.25">
      <c r="B25" s="2" t="s">
        <v>18</v>
      </c>
      <c r="C25" s="43"/>
      <c r="D25" s="44">
        <f>D24-D21</f>
        <v>400</v>
      </c>
      <c r="E25" s="44">
        <f>E24-E21</f>
        <v>350</v>
      </c>
      <c r="F25" s="44">
        <f>F24-F21</f>
        <v>500</v>
      </c>
      <c r="G25" s="43"/>
    </row>
    <row r="26" spans="2:10" ht="20.100000000000001" customHeight="1" x14ac:dyDescent="0.25">
      <c r="B26" s="38"/>
      <c r="C26" s="38"/>
      <c r="D26" s="45"/>
      <c r="E26" s="45"/>
      <c r="F26" s="45"/>
      <c r="G26" s="38"/>
    </row>
    <row r="27" spans="2:10" ht="20.100000000000001" customHeight="1" x14ac:dyDescent="0.25">
      <c r="B27" s="16" t="s">
        <v>19</v>
      </c>
      <c r="C27" s="3"/>
      <c r="D27" s="12">
        <f>SUMPRODUCT(C6:C11,D15:D20)</f>
        <v>0</v>
      </c>
      <c r="E27" s="12">
        <f>SUMPRODUCT(D6:D11,E15:E20)</f>
        <v>0</v>
      </c>
      <c r="F27" s="12">
        <f>SUMPRODUCT(E6:E11,F15:F20)</f>
        <v>0</v>
      </c>
      <c r="G27" s="66">
        <f>SUM(D27:F27)</f>
        <v>0</v>
      </c>
    </row>
    <row r="30" spans="2:10" ht="20.100000000000001" customHeight="1" x14ac:dyDescent="0.25">
      <c r="B30" s="5" t="s">
        <v>39</v>
      </c>
    </row>
    <row r="31" spans="2:10" ht="20.100000000000001" customHeight="1" x14ac:dyDescent="0.25">
      <c r="B31" s="33" t="s">
        <v>21</v>
      </c>
      <c r="C31" s="33" t="s">
        <v>22</v>
      </c>
      <c r="D31" s="33" t="s">
        <v>23</v>
      </c>
      <c r="E31" s="33" t="s">
        <v>24</v>
      </c>
      <c r="F31" s="33" t="s">
        <v>25</v>
      </c>
      <c r="G31" s="46"/>
      <c r="H31" s="33" t="s">
        <v>26</v>
      </c>
      <c r="I31" s="33" t="s">
        <v>27</v>
      </c>
      <c r="J31" s="33" t="s">
        <v>28</v>
      </c>
    </row>
    <row r="32" spans="2:10" ht="20.100000000000001" customHeight="1" x14ac:dyDescent="0.25">
      <c r="B32" s="41">
        <v>1</v>
      </c>
      <c r="C32" s="47">
        <v>0</v>
      </c>
      <c r="D32" s="41">
        <v>0</v>
      </c>
      <c r="E32" s="41">
        <v>0</v>
      </c>
      <c r="F32" s="47">
        <f>SUM(C32:E32)</f>
        <v>0</v>
      </c>
      <c r="G32" s="46" t="s">
        <v>29</v>
      </c>
      <c r="H32" s="41">
        <v>130</v>
      </c>
      <c r="I32" s="49">
        <v>200</v>
      </c>
      <c r="J32" s="41">
        <v>70</v>
      </c>
    </row>
    <row r="33" spans="2:10" ht="20.100000000000001" customHeight="1" x14ac:dyDescent="0.25">
      <c r="B33" s="41">
        <v>2</v>
      </c>
      <c r="C33" s="47">
        <v>0</v>
      </c>
      <c r="D33" s="41">
        <v>0</v>
      </c>
      <c r="E33" s="47">
        <v>0</v>
      </c>
      <c r="F33" s="47">
        <f>SUM(C33:E33)</f>
        <v>0</v>
      </c>
      <c r="G33" s="46" t="s">
        <v>29</v>
      </c>
      <c r="H33" s="41">
        <v>200</v>
      </c>
      <c r="I33" s="49">
        <v>180</v>
      </c>
      <c r="J33" s="41">
        <v>76</v>
      </c>
    </row>
    <row r="34" spans="2:10" ht="20.100000000000001" customHeight="1" x14ac:dyDescent="0.25">
      <c r="B34" s="41">
        <v>3</v>
      </c>
      <c r="C34" s="47">
        <v>0</v>
      </c>
      <c r="D34" s="41">
        <v>0</v>
      </c>
      <c r="E34" s="47">
        <v>0</v>
      </c>
      <c r="F34" s="47">
        <f>SUM(C34:E34)</f>
        <v>0</v>
      </c>
      <c r="G34" s="46" t="s">
        <v>29</v>
      </c>
      <c r="H34" s="41">
        <v>180</v>
      </c>
      <c r="I34" s="49">
        <v>250</v>
      </c>
      <c r="J34" s="41">
        <v>90</v>
      </c>
    </row>
    <row r="35" spans="2:10" ht="20.100000000000001" customHeight="1" x14ac:dyDescent="0.25">
      <c r="B35" s="32" t="s">
        <v>30</v>
      </c>
      <c r="C35" s="47">
        <f>SUM(C32:C34)</f>
        <v>0</v>
      </c>
      <c r="D35" s="41">
        <f>SUM(D32:D34)</f>
        <v>0</v>
      </c>
      <c r="E35" s="47">
        <f>SUM(E32:E34)</f>
        <v>0</v>
      </c>
      <c r="F35" s="38"/>
      <c r="G35" s="38"/>
      <c r="H35" s="38"/>
      <c r="I35" s="38"/>
      <c r="J35" s="38"/>
    </row>
    <row r="36" spans="2:10" ht="20.100000000000001" customHeight="1" x14ac:dyDescent="0.25">
      <c r="B36" s="15"/>
      <c r="C36" s="46" t="s">
        <v>31</v>
      </c>
      <c r="D36" s="46" t="s">
        <v>31</v>
      </c>
      <c r="E36" s="46" t="s">
        <v>31</v>
      </c>
      <c r="F36" s="38"/>
      <c r="G36" s="38"/>
      <c r="H36" s="38"/>
      <c r="I36" s="38"/>
      <c r="J36" s="38"/>
    </row>
    <row r="37" spans="2:10" ht="20.100000000000001" customHeight="1" x14ac:dyDescent="0.25">
      <c r="B37" s="32" t="s">
        <v>32</v>
      </c>
      <c r="C37" s="41">
        <v>100</v>
      </c>
      <c r="D37" s="41">
        <v>150</v>
      </c>
      <c r="E37" s="41">
        <v>150</v>
      </c>
      <c r="F37" s="38"/>
      <c r="G37" s="46"/>
      <c r="H37" s="32" t="s">
        <v>33</v>
      </c>
      <c r="I37" s="73">
        <f>SUMPRODUCT(C38:E38,C35:E35)</f>
        <v>0</v>
      </c>
      <c r="J37" s="74"/>
    </row>
    <row r="38" spans="2:10" ht="20.100000000000001" customHeight="1" x14ac:dyDescent="0.25">
      <c r="B38" s="32" t="s">
        <v>34</v>
      </c>
      <c r="C38" s="49">
        <v>220</v>
      </c>
      <c r="D38" s="49">
        <v>200</v>
      </c>
      <c r="E38" s="49">
        <v>300</v>
      </c>
      <c r="F38" s="38"/>
      <c r="G38" s="46"/>
      <c r="H38" s="32" t="s">
        <v>35</v>
      </c>
      <c r="I38" s="73">
        <f>SUMPRODUCT(I32:I34,F32:F34)</f>
        <v>0</v>
      </c>
      <c r="J38" s="74"/>
    </row>
    <row r="39" spans="2:10" ht="20.100000000000001" customHeight="1" x14ac:dyDescent="0.25">
      <c r="B39" s="32" t="s">
        <v>36</v>
      </c>
      <c r="C39" s="41">
        <v>75</v>
      </c>
      <c r="D39" s="41">
        <v>75</v>
      </c>
      <c r="E39" s="41">
        <v>89</v>
      </c>
      <c r="F39" s="38"/>
      <c r="G39" s="46"/>
      <c r="H39" s="32" t="s">
        <v>37</v>
      </c>
      <c r="I39" s="75">
        <f>I37-I38</f>
        <v>0</v>
      </c>
      <c r="J39" s="75"/>
    </row>
    <row r="40" spans="2:10" ht="20.100000000000001" customHeight="1" x14ac:dyDescent="0.25">
      <c r="B40" s="15"/>
      <c r="C40" s="38"/>
      <c r="D40" s="38"/>
      <c r="E40" s="38"/>
      <c r="F40" s="38"/>
      <c r="G40" s="38"/>
      <c r="H40" s="46"/>
      <c r="I40" s="46"/>
      <c r="J40" s="46"/>
    </row>
    <row r="41" spans="2:10" ht="20.100000000000001" customHeight="1" x14ac:dyDescent="0.25">
      <c r="B41" s="76" t="s">
        <v>38</v>
      </c>
      <c r="C41" s="41">
        <f>SUMPRODUCT($J$32:$J$34,C32:C34)</f>
        <v>0</v>
      </c>
      <c r="D41" s="41">
        <f>SUMPRODUCT($J$32:$J$34,D32:D34)</f>
        <v>0</v>
      </c>
      <c r="E41" s="41">
        <f>SUMPRODUCT($J$32:$J$34,E32:E34)</f>
        <v>0</v>
      </c>
      <c r="F41" s="38"/>
      <c r="G41" s="38"/>
      <c r="H41" s="38"/>
      <c r="I41" s="38"/>
      <c r="J41" s="38"/>
    </row>
    <row r="42" spans="2:10" ht="20.100000000000001" customHeight="1" x14ac:dyDescent="0.25">
      <c r="B42" s="76"/>
      <c r="C42" s="41" t="s">
        <v>31</v>
      </c>
      <c r="D42" s="41" t="s">
        <v>31</v>
      </c>
      <c r="E42" s="41" t="s">
        <v>31</v>
      </c>
      <c r="F42" s="38"/>
      <c r="G42" s="38"/>
      <c r="H42" s="38"/>
      <c r="I42" s="38"/>
      <c r="J42" s="38"/>
    </row>
    <row r="43" spans="2:10" ht="20.100000000000001" customHeight="1" x14ac:dyDescent="0.25">
      <c r="B43" s="76"/>
      <c r="C43" s="41">
        <f>C39*C35</f>
        <v>0</v>
      </c>
      <c r="D43" s="41">
        <f>D39*D35</f>
        <v>0</v>
      </c>
      <c r="E43" s="41">
        <f>E39*E35</f>
        <v>0</v>
      </c>
      <c r="F43" s="38"/>
      <c r="G43" s="38"/>
      <c r="H43" s="38"/>
      <c r="I43" s="38"/>
      <c r="J43" s="38"/>
    </row>
    <row r="46" spans="2:10" ht="20.100000000000001" customHeight="1" x14ac:dyDescent="0.25">
      <c r="B46" s="5" t="s">
        <v>46</v>
      </c>
    </row>
    <row r="47" spans="2:10" ht="20.100000000000001" customHeight="1" x14ac:dyDescent="0.25">
      <c r="B47" s="33" t="s">
        <v>40</v>
      </c>
      <c r="C47" s="33" t="s">
        <v>41</v>
      </c>
      <c r="D47" s="33" t="s">
        <v>42</v>
      </c>
      <c r="E47" s="33" t="s">
        <v>37</v>
      </c>
    </row>
    <row r="48" spans="2:10" ht="20.100000000000001" customHeight="1" x14ac:dyDescent="0.25">
      <c r="B48" s="41" t="s">
        <v>43</v>
      </c>
      <c r="C48" s="41">
        <v>25</v>
      </c>
      <c r="D48" s="50">
        <v>13</v>
      </c>
      <c r="E48" s="51">
        <f>C48*D48</f>
        <v>325</v>
      </c>
    </row>
    <row r="49" spans="2:5" ht="20.100000000000001" customHeight="1" x14ac:dyDescent="0.25">
      <c r="B49" s="41" t="s">
        <v>44</v>
      </c>
      <c r="C49" s="41">
        <v>25</v>
      </c>
      <c r="D49" s="50">
        <v>18</v>
      </c>
      <c r="E49" s="51">
        <f t="shared" ref="E49:E64" si="1">C49*D49</f>
        <v>450</v>
      </c>
    </row>
    <row r="50" spans="2:5" ht="20.100000000000001" customHeight="1" x14ac:dyDescent="0.25">
      <c r="B50" s="41" t="s">
        <v>45</v>
      </c>
      <c r="C50" s="41">
        <v>25</v>
      </c>
      <c r="D50" s="50">
        <v>22</v>
      </c>
      <c r="E50" s="51">
        <f t="shared" si="1"/>
        <v>550</v>
      </c>
    </row>
    <row r="51" spans="2:5" ht="20.100000000000001" customHeight="1" x14ac:dyDescent="0.25">
      <c r="B51" s="41" t="s">
        <v>47</v>
      </c>
      <c r="C51" s="41">
        <v>5</v>
      </c>
      <c r="D51" s="50">
        <v>17</v>
      </c>
      <c r="E51" s="51">
        <f t="shared" si="1"/>
        <v>85</v>
      </c>
    </row>
    <row r="52" spans="2:5" ht="20.100000000000001" customHeight="1" x14ac:dyDescent="0.25">
      <c r="B52" s="41" t="s">
        <v>48</v>
      </c>
      <c r="C52" s="41">
        <v>5</v>
      </c>
      <c r="D52" s="50">
        <v>3</v>
      </c>
      <c r="E52" s="51">
        <f t="shared" si="1"/>
        <v>15</v>
      </c>
    </row>
    <row r="53" spans="2:5" ht="20.100000000000001" customHeight="1" x14ac:dyDescent="0.25">
      <c r="B53" s="41" t="s">
        <v>49</v>
      </c>
      <c r="C53" s="41">
        <v>5</v>
      </c>
      <c r="D53" s="50">
        <v>9</v>
      </c>
      <c r="E53" s="51">
        <f t="shared" si="1"/>
        <v>45</v>
      </c>
    </row>
    <row r="54" spans="2:5" ht="20.100000000000001" customHeight="1" x14ac:dyDescent="0.25">
      <c r="B54" s="41" t="s">
        <v>50</v>
      </c>
      <c r="C54" s="41">
        <v>5</v>
      </c>
      <c r="D54" s="50">
        <v>2</v>
      </c>
      <c r="E54" s="51">
        <f t="shared" si="1"/>
        <v>10</v>
      </c>
    </row>
    <row r="55" spans="2:5" ht="20.100000000000001" customHeight="1" x14ac:dyDescent="0.25">
      <c r="B55" s="41" t="s">
        <v>51</v>
      </c>
      <c r="C55" s="41">
        <v>5</v>
      </c>
      <c r="D55" s="50">
        <v>2.5</v>
      </c>
      <c r="E55" s="51">
        <f t="shared" si="1"/>
        <v>12.5</v>
      </c>
    </row>
    <row r="56" spans="2:5" ht="20.100000000000001" customHeight="1" x14ac:dyDescent="0.25">
      <c r="B56" s="41" t="s">
        <v>52</v>
      </c>
      <c r="C56" s="41">
        <v>5</v>
      </c>
      <c r="D56" s="50">
        <v>11</v>
      </c>
      <c r="E56" s="51">
        <f t="shared" si="1"/>
        <v>55</v>
      </c>
    </row>
    <row r="57" spans="2:5" ht="20.100000000000001" customHeight="1" x14ac:dyDescent="0.25">
      <c r="B57" s="41" t="s">
        <v>53</v>
      </c>
      <c r="C57" s="41">
        <v>4</v>
      </c>
      <c r="D57" s="50">
        <v>2</v>
      </c>
      <c r="E57" s="51">
        <f t="shared" si="1"/>
        <v>8</v>
      </c>
    </row>
    <row r="58" spans="2:5" ht="20.100000000000001" customHeight="1" x14ac:dyDescent="0.25">
      <c r="B58" s="41" t="s">
        <v>54</v>
      </c>
      <c r="C58" s="41">
        <v>4</v>
      </c>
      <c r="D58" s="50">
        <v>12</v>
      </c>
      <c r="E58" s="51">
        <f t="shared" si="1"/>
        <v>48</v>
      </c>
    </row>
    <row r="59" spans="2:5" ht="20.100000000000001" customHeight="1" x14ac:dyDescent="0.25">
      <c r="B59" s="41" t="s">
        <v>55</v>
      </c>
      <c r="C59" s="41">
        <v>3</v>
      </c>
      <c r="D59" s="50">
        <v>3</v>
      </c>
      <c r="E59" s="51">
        <f t="shared" si="1"/>
        <v>9</v>
      </c>
    </row>
    <row r="60" spans="2:5" ht="20.100000000000001" customHeight="1" x14ac:dyDescent="0.25">
      <c r="B60" s="41" t="s">
        <v>56</v>
      </c>
      <c r="C60" s="41">
        <v>2</v>
      </c>
      <c r="D60" s="50">
        <v>12</v>
      </c>
      <c r="E60" s="51">
        <f t="shared" si="1"/>
        <v>24</v>
      </c>
    </row>
    <row r="61" spans="2:5" ht="20.100000000000001" customHeight="1" x14ac:dyDescent="0.25">
      <c r="B61" s="41" t="s">
        <v>57</v>
      </c>
      <c r="C61" s="41">
        <v>5</v>
      </c>
      <c r="D61" s="50">
        <v>6</v>
      </c>
      <c r="E61" s="51">
        <f t="shared" si="1"/>
        <v>30</v>
      </c>
    </row>
    <row r="62" spans="2:5" ht="20.100000000000001" customHeight="1" x14ac:dyDescent="0.25">
      <c r="B62" s="41" t="s">
        <v>58</v>
      </c>
      <c r="C62" s="41">
        <v>23</v>
      </c>
      <c r="D62" s="50">
        <v>5</v>
      </c>
      <c r="E62" s="51">
        <f t="shared" si="1"/>
        <v>115</v>
      </c>
    </row>
    <row r="63" spans="2:5" ht="20.100000000000001" customHeight="1" x14ac:dyDescent="0.25">
      <c r="B63" s="41" t="s">
        <v>59</v>
      </c>
      <c r="C63" s="41">
        <v>3</v>
      </c>
      <c r="D63" s="50">
        <v>13</v>
      </c>
      <c r="E63" s="51">
        <f t="shared" si="1"/>
        <v>39</v>
      </c>
    </row>
    <row r="64" spans="2:5" ht="20.100000000000001" customHeight="1" x14ac:dyDescent="0.25">
      <c r="B64" s="41" t="s">
        <v>60</v>
      </c>
      <c r="C64" s="41">
        <v>2</v>
      </c>
      <c r="D64" s="50">
        <v>11</v>
      </c>
      <c r="E64" s="51">
        <f t="shared" si="1"/>
        <v>22</v>
      </c>
    </row>
    <row r="65" spans="2:10" ht="20.100000000000001" customHeight="1" x14ac:dyDescent="0.25">
      <c r="B65" s="17" t="s">
        <v>15</v>
      </c>
      <c r="C65" s="17">
        <f>SUM(C48:C64)</f>
        <v>151</v>
      </c>
      <c r="D65" s="52"/>
      <c r="E65" s="18">
        <f>SUM(E48:E64)</f>
        <v>1842.5</v>
      </c>
    </row>
    <row r="68" spans="2:10" ht="20.100000000000001" customHeight="1" x14ac:dyDescent="0.25">
      <c r="B68" s="5" t="s">
        <v>75</v>
      </c>
    </row>
    <row r="69" spans="2:10" ht="20.100000000000001" customHeight="1" x14ac:dyDescent="0.25">
      <c r="B69" s="77" t="s">
        <v>61</v>
      </c>
      <c r="C69" s="77"/>
      <c r="D69" s="77"/>
      <c r="E69" s="77"/>
      <c r="F69" s="77"/>
      <c r="G69" s="77"/>
      <c r="H69" s="77" t="s">
        <v>62</v>
      </c>
      <c r="I69" s="77"/>
      <c r="J69" s="77"/>
    </row>
    <row r="70" spans="2:10" ht="20.100000000000001" customHeight="1" x14ac:dyDescent="0.25">
      <c r="B70" s="32" t="s">
        <v>63</v>
      </c>
      <c r="C70" s="32" t="s">
        <v>64</v>
      </c>
      <c r="D70" s="32" t="s">
        <v>65</v>
      </c>
      <c r="E70" s="32" t="s">
        <v>66</v>
      </c>
      <c r="F70" s="32" t="s">
        <v>67</v>
      </c>
      <c r="G70" s="32" t="s">
        <v>68</v>
      </c>
      <c r="H70" s="32" t="s">
        <v>69</v>
      </c>
      <c r="I70" s="32" t="s">
        <v>64</v>
      </c>
      <c r="J70" s="32" t="s">
        <v>68</v>
      </c>
    </row>
    <row r="71" spans="2:10" ht="20.100000000000001" customHeight="1" x14ac:dyDescent="0.25">
      <c r="B71" s="41" t="s">
        <v>70</v>
      </c>
      <c r="C71" s="41">
        <v>6000</v>
      </c>
      <c r="D71" s="41">
        <v>15.37</v>
      </c>
      <c r="E71" s="51">
        <f>C71*D71</f>
        <v>92220</v>
      </c>
      <c r="F71" s="53">
        <v>2.46E-2</v>
      </c>
      <c r="G71" s="54">
        <f>C71*F71</f>
        <v>147.6</v>
      </c>
      <c r="H71" s="41">
        <v>0</v>
      </c>
      <c r="I71" s="41">
        <f>H71/D71</f>
        <v>0</v>
      </c>
      <c r="J71" s="55">
        <f>F71*I71</f>
        <v>0</v>
      </c>
    </row>
    <row r="72" spans="2:10" ht="20.100000000000001" customHeight="1" x14ac:dyDescent="0.25">
      <c r="B72" s="41" t="s">
        <v>71</v>
      </c>
      <c r="C72" s="41">
        <v>9000</v>
      </c>
      <c r="D72" s="41">
        <v>16</v>
      </c>
      <c r="E72" s="51">
        <f t="shared" ref="E72:E82" si="2">C72*D72</f>
        <v>144000</v>
      </c>
      <c r="F72" s="53">
        <v>2.1700000000000001E-2</v>
      </c>
      <c r="G72" s="54">
        <f t="shared" ref="G72:G82" si="3">C72*F72</f>
        <v>195.3</v>
      </c>
      <c r="H72" s="41">
        <v>0</v>
      </c>
      <c r="I72" s="41">
        <f>H72/D72</f>
        <v>0</v>
      </c>
      <c r="J72" s="55">
        <f t="shared" ref="J72:J82" si="4">F72*I72</f>
        <v>0</v>
      </c>
    </row>
    <row r="73" spans="2:10" ht="20.100000000000001" customHeight="1" x14ac:dyDescent="0.25">
      <c r="B73" s="41" t="s">
        <v>72</v>
      </c>
      <c r="C73" s="41">
        <v>4000</v>
      </c>
      <c r="D73" s="41">
        <v>15.9</v>
      </c>
      <c r="E73" s="51">
        <f t="shared" si="2"/>
        <v>63600</v>
      </c>
      <c r="F73" s="53">
        <v>2.1299999999999999E-2</v>
      </c>
      <c r="G73" s="54">
        <f t="shared" si="3"/>
        <v>85.2</v>
      </c>
      <c r="H73" s="41">
        <v>0</v>
      </c>
      <c r="I73" s="41">
        <f>H73/D73</f>
        <v>0</v>
      </c>
      <c r="J73" s="55">
        <f t="shared" si="4"/>
        <v>0</v>
      </c>
    </row>
    <row r="74" spans="2:10" ht="20.100000000000001" customHeight="1" x14ac:dyDescent="0.25">
      <c r="B74" s="41" t="s">
        <v>73</v>
      </c>
      <c r="C74" s="41">
        <v>5000</v>
      </c>
      <c r="D74" s="41">
        <v>12</v>
      </c>
      <c r="E74" s="51">
        <f t="shared" si="2"/>
        <v>60000</v>
      </c>
      <c r="F74" s="53">
        <v>2.1000000000000001E-2</v>
      </c>
      <c r="G74" s="54">
        <f t="shared" si="3"/>
        <v>105</v>
      </c>
      <c r="H74" s="41">
        <v>0</v>
      </c>
      <c r="I74" s="41">
        <f>H74/D74</f>
        <v>0</v>
      </c>
      <c r="J74" s="55">
        <f t="shared" si="4"/>
        <v>0</v>
      </c>
    </row>
    <row r="75" spans="2:10" ht="20.100000000000001" customHeight="1" x14ac:dyDescent="0.25">
      <c r="B75" s="41" t="s">
        <v>74</v>
      </c>
      <c r="C75" s="41">
        <v>4000</v>
      </c>
      <c r="D75" s="41">
        <v>17</v>
      </c>
      <c r="E75" s="51">
        <f t="shared" si="2"/>
        <v>68000</v>
      </c>
      <c r="F75" s="53">
        <v>2.5700000000000001E-2</v>
      </c>
      <c r="G75" s="54">
        <f t="shared" si="3"/>
        <v>102.8</v>
      </c>
      <c r="H75" s="41">
        <v>0</v>
      </c>
      <c r="I75" s="41">
        <f>H75/D75</f>
        <v>0</v>
      </c>
      <c r="J75" s="55">
        <f t="shared" si="4"/>
        <v>0</v>
      </c>
    </row>
    <row r="76" spans="2:10" ht="20.100000000000001" customHeight="1" x14ac:dyDescent="0.25">
      <c r="B76" s="41" t="s">
        <v>76</v>
      </c>
      <c r="C76" s="41">
        <v>7000</v>
      </c>
      <c r="D76" s="41">
        <v>15.8</v>
      </c>
      <c r="E76" s="51">
        <f t="shared" si="2"/>
        <v>110600</v>
      </c>
      <c r="F76" s="53">
        <v>2.3300000000000001E-2</v>
      </c>
      <c r="G76" s="54">
        <f t="shared" si="3"/>
        <v>163.10000000000002</v>
      </c>
      <c r="H76" s="41">
        <v>0</v>
      </c>
      <c r="I76" s="41">
        <f t="shared" ref="I76:I82" si="5">H76/D76</f>
        <v>0</v>
      </c>
      <c r="J76" s="55">
        <f t="shared" si="4"/>
        <v>0</v>
      </c>
    </row>
    <row r="77" spans="2:10" ht="20.100000000000001" customHeight="1" x14ac:dyDescent="0.25">
      <c r="B77" s="41" t="s">
        <v>77</v>
      </c>
      <c r="C77" s="41">
        <v>3500</v>
      </c>
      <c r="D77" s="41">
        <v>14.3</v>
      </c>
      <c r="E77" s="51">
        <f t="shared" si="2"/>
        <v>50050</v>
      </c>
      <c r="F77" s="53">
        <v>1.9900000000000001E-2</v>
      </c>
      <c r="G77" s="54">
        <f t="shared" si="3"/>
        <v>69.650000000000006</v>
      </c>
      <c r="H77" s="41">
        <v>0</v>
      </c>
      <c r="I77" s="41">
        <f t="shared" si="5"/>
        <v>0</v>
      </c>
      <c r="J77" s="55">
        <f t="shared" si="4"/>
        <v>0</v>
      </c>
    </row>
    <row r="78" spans="2:10" ht="20.100000000000001" customHeight="1" x14ac:dyDescent="0.25">
      <c r="B78" s="41" t="s">
        <v>78</v>
      </c>
      <c r="C78" s="41">
        <v>1700</v>
      </c>
      <c r="D78" s="41">
        <v>15.2</v>
      </c>
      <c r="E78" s="51">
        <f t="shared" si="2"/>
        <v>25840</v>
      </c>
      <c r="F78" s="53">
        <v>2.1700000000000001E-2</v>
      </c>
      <c r="G78" s="54">
        <f t="shared" si="3"/>
        <v>36.89</v>
      </c>
      <c r="H78" s="41">
        <v>0</v>
      </c>
      <c r="I78" s="41">
        <f t="shared" si="5"/>
        <v>0</v>
      </c>
      <c r="J78" s="55">
        <f t="shared" si="4"/>
        <v>0</v>
      </c>
    </row>
    <row r="79" spans="2:10" ht="20.100000000000001" customHeight="1" x14ac:dyDescent="0.25">
      <c r="B79" s="41" t="s">
        <v>130</v>
      </c>
      <c r="C79" s="41">
        <v>1900</v>
      </c>
      <c r="D79" s="41">
        <v>10.5</v>
      </c>
      <c r="E79" s="51">
        <f t="shared" si="2"/>
        <v>19950</v>
      </c>
      <c r="F79" s="53">
        <v>2.1999999999999999E-2</v>
      </c>
      <c r="G79" s="54">
        <f t="shared" si="3"/>
        <v>41.8</v>
      </c>
      <c r="H79" s="41">
        <v>0</v>
      </c>
      <c r="I79" s="41">
        <f t="shared" si="5"/>
        <v>0</v>
      </c>
      <c r="J79" s="55">
        <f t="shared" si="4"/>
        <v>0</v>
      </c>
    </row>
    <row r="80" spans="2:10" ht="20.100000000000001" customHeight="1" x14ac:dyDescent="0.25">
      <c r="B80" s="41" t="s">
        <v>79</v>
      </c>
      <c r="C80" s="41">
        <v>2100</v>
      </c>
      <c r="D80" s="41">
        <v>11.8</v>
      </c>
      <c r="E80" s="51">
        <f t="shared" si="2"/>
        <v>24780</v>
      </c>
      <c r="F80" s="53">
        <v>2.1000000000000001E-2</v>
      </c>
      <c r="G80" s="54">
        <f t="shared" si="3"/>
        <v>44.1</v>
      </c>
      <c r="H80" s="41">
        <v>0</v>
      </c>
      <c r="I80" s="41">
        <f t="shared" si="5"/>
        <v>0</v>
      </c>
      <c r="J80" s="55">
        <f t="shared" si="4"/>
        <v>0</v>
      </c>
    </row>
    <row r="81" spans="2:10" ht="20.100000000000001" customHeight="1" x14ac:dyDescent="0.25">
      <c r="B81" s="41" t="s">
        <v>80</v>
      </c>
      <c r="C81" s="41">
        <v>4530</v>
      </c>
      <c r="D81" s="41">
        <v>12.5</v>
      </c>
      <c r="E81" s="51">
        <f t="shared" si="2"/>
        <v>56625</v>
      </c>
      <c r="F81" s="53">
        <v>2.01E-2</v>
      </c>
      <c r="G81" s="54">
        <f t="shared" si="3"/>
        <v>91.052999999999997</v>
      </c>
      <c r="H81" s="41">
        <v>0</v>
      </c>
      <c r="I81" s="41">
        <f t="shared" si="5"/>
        <v>0</v>
      </c>
      <c r="J81" s="55">
        <f t="shared" si="4"/>
        <v>0</v>
      </c>
    </row>
    <row r="82" spans="2:10" ht="20.100000000000001" customHeight="1" x14ac:dyDescent="0.25">
      <c r="B82" s="41" t="s">
        <v>81</v>
      </c>
      <c r="C82" s="41">
        <v>700</v>
      </c>
      <c r="D82" s="41">
        <v>7</v>
      </c>
      <c r="E82" s="51">
        <f t="shared" si="2"/>
        <v>4900</v>
      </c>
      <c r="F82" s="53">
        <v>1.9800000000000002E-2</v>
      </c>
      <c r="G82" s="54">
        <f t="shared" si="3"/>
        <v>13.860000000000001</v>
      </c>
      <c r="H82" s="41">
        <v>0</v>
      </c>
      <c r="I82" s="41">
        <f t="shared" si="5"/>
        <v>0</v>
      </c>
      <c r="J82" s="55">
        <f t="shared" si="4"/>
        <v>0</v>
      </c>
    </row>
    <row r="83" spans="2:10" ht="20.100000000000001" customHeight="1" x14ac:dyDescent="0.25">
      <c r="B83" s="41" t="s">
        <v>15</v>
      </c>
      <c r="C83" s="41">
        <f>SUM(C71:C82)</f>
        <v>49430</v>
      </c>
      <c r="D83" s="41"/>
      <c r="E83" s="51">
        <f>SUM(E71:E82)</f>
        <v>720565</v>
      </c>
      <c r="F83" s="41"/>
      <c r="G83" s="54">
        <f>SUM(G71:G82)</f>
        <v>1096.3529999999998</v>
      </c>
      <c r="H83" s="41">
        <f>SUM(H71:H82)</f>
        <v>0</v>
      </c>
      <c r="I83" s="41">
        <f>SUM(I71:I82)</f>
        <v>0</v>
      </c>
      <c r="J83" s="55">
        <f>SUM(J71:J82)</f>
        <v>0</v>
      </c>
    </row>
    <row r="86" spans="2:10" ht="20.100000000000001" customHeight="1" x14ac:dyDescent="0.25">
      <c r="B86" s="5" t="s">
        <v>95</v>
      </c>
    </row>
    <row r="87" spans="2:10" ht="20.100000000000001" customHeight="1" x14ac:dyDescent="0.25">
      <c r="B87" s="33" t="s">
        <v>94</v>
      </c>
      <c r="C87" s="41"/>
      <c r="D87" s="56" t="s">
        <v>85</v>
      </c>
      <c r="E87" s="56" t="s">
        <v>86</v>
      </c>
      <c r="F87" s="56" t="s">
        <v>87</v>
      </c>
      <c r="G87" s="56" t="s">
        <v>88</v>
      </c>
      <c r="H87" s="56" t="s">
        <v>89</v>
      </c>
      <c r="I87" s="56" t="s">
        <v>90</v>
      </c>
      <c r="J87" s="56" t="s">
        <v>91</v>
      </c>
    </row>
    <row r="88" spans="2:10" ht="20.100000000000001" customHeight="1" x14ac:dyDescent="0.25">
      <c r="B88" s="41">
        <v>0</v>
      </c>
      <c r="C88" s="56" t="s">
        <v>85</v>
      </c>
      <c r="D88" s="41">
        <v>1</v>
      </c>
      <c r="E88" s="41">
        <v>1</v>
      </c>
      <c r="F88" s="41">
        <v>1</v>
      </c>
      <c r="G88" s="41">
        <v>1</v>
      </c>
      <c r="H88" s="41">
        <v>1</v>
      </c>
      <c r="I88" s="41">
        <v>0</v>
      </c>
      <c r="J88" s="41">
        <v>0</v>
      </c>
    </row>
    <row r="89" spans="2:10" ht="20.100000000000001" customHeight="1" x14ac:dyDescent="0.25">
      <c r="B89" s="41">
        <v>0</v>
      </c>
      <c r="C89" s="56" t="s">
        <v>86</v>
      </c>
      <c r="D89" s="41">
        <v>0</v>
      </c>
      <c r="E89" s="41">
        <v>1</v>
      </c>
      <c r="F89" s="41">
        <v>1</v>
      </c>
      <c r="G89" s="41">
        <v>1</v>
      </c>
      <c r="H89" s="41">
        <v>1</v>
      </c>
      <c r="I89" s="41">
        <v>1</v>
      </c>
      <c r="J89" s="41">
        <v>0</v>
      </c>
    </row>
    <row r="90" spans="2:10" ht="20.100000000000001" customHeight="1" x14ac:dyDescent="0.25">
      <c r="B90" s="41">
        <v>0</v>
      </c>
      <c r="C90" s="56" t="s">
        <v>87</v>
      </c>
      <c r="D90" s="41">
        <v>0</v>
      </c>
      <c r="E90" s="41">
        <v>0</v>
      </c>
      <c r="F90" s="41">
        <v>1</v>
      </c>
      <c r="G90" s="41">
        <v>1</v>
      </c>
      <c r="H90" s="41">
        <v>1</v>
      </c>
      <c r="I90" s="41">
        <v>1</v>
      </c>
      <c r="J90" s="41">
        <v>1</v>
      </c>
    </row>
    <row r="91" spans="2:10" ht="20.100000000000001" customHeight="1" x14ac:dyDescent="0.25">
      <c r="B91" s="41">
        <v>0</v>
      </c>
      <c r="C91" s="56" t="s">
        <v>88</v>
      </c>
      <c r="D91" s="41">
        <v>1</v>
      </c>
      <c r="E91" s="41">
        <v>0</v>
      </c>
      <c r="F91" s="41">
        <v>0</v>
      </c>
      <c r="G91" s="41">
        <v>1</v>
      </c>
      <c r="H91" s="41">
        <v>1</v>
      </c>
      <c r="I91" s="41">
        <v>1</v>
      </c>
      <c r="J91" s="41">
        <v>1</v>
      </c>
    </row>
    <row r="92" spans="2:10" ht="20.100000000000001" customHeight="1" x14ac:dyDescent="0.25">
      <c r="B92" s="41">
        <v>0</v>
      </c>
      <c r="C92" s="56" t="s">
        <v>89</v>
      </c>
      <c r="D92" s="41">
        <v>1</v>
      </c>
      <c r="E92" s="41">
        <v>1</v>
      </c>
      <c r="F92" s="41">
        <v>0</v>
      </c>
      <c r="G92" s="41">
        <v>0</v>
      </c>
      <c r="H92" s="41">
        <v>1</v>
      </c>
      <c r="I92" s="41">
        <v>1</v>
      </c>
      <c r="J92" s="41">
        <v>1</v>
      </c>
    </row>
    <row r="93" spans="2:10" ht="20.100000000000001" customHeight="1" x14ac:dyDescent="0.25">
      <c r="B93" s="41">
        <v>0</v>
      </c>
      <c r="C93" s="56" t="s">
        <v>90</v>
      </c>
      <c r="D93" s="41">
        <v>1</v>
      </c>
      <c r="E93" s="41">
        <v>1</v>
      </c>
      <c r="F93" s="41">
        <v>1</v>
      </c>
      <c r="G93" s="41">
        <v>0</v>
      </c>
      <c r="H93" s="41">
        <v>0</v>
      </c>
      <c r="I93" s="41">
        <v>1</v>
      </c>
      <c r="J93" s="41">
        <v>1</v>
      </c>
    </row>
    <row r="94" spans="2:10" ht="20.100000000000001" customHeight="1" x14ac:dyDescent="0.25">
      <c r="B94" s="41">
        <v>0</v>
      </c>
      <c r="C94" s="56" t="s">
        <v>91</v>
      </c>
      <c r="D94" s="41">
        <v>1</v>
      </c>
      <c r="E94" s="41">
        <v>1</v>
      </c>
      <c r="F94" s="41">
        <v>1</v>
      </c>
      <c r="G94" s="41">
        <v>1</v>
      </c>
      <c r="H94" s="41">
        <v>0</v>
      </c>
      <c r="I94" s="41">
        <v>0</v>
      </c>
      <c r="J94" s="41">
        <v>1</v>
      </c>
    </row>
    <row r="95" spans="2:10" ht="20.100000000000001" customHeight="1" x14ac:dyDescent="0.25">
      <c r="B95" s="36"/>
    </row>
    <row r="96" spans="2:10" ht="20.100000000000001" customHeight="1" x14ac:dyDescent="0.25">
      <c r="B96" s="36"/>
      <c r="C96" s="41" t="s">
        <v>92</v>
      </c>
      <c r="D96" s="41">
        <f t="shared" ref="D96:J96" si="6">SUMPRODUCT($B$88:$B$94,D$88:D$94)</f>
        <v>0</v>
      </c>
      <c r="E96" s="41">
        <f t="shared" si="6"/>
        <v>0</v>
      </c>
      <c r="F96" s="41">
        <f t="shared" si="6"/>
        <v>0</v>
      </c>
      <c r="G96" s="41">
        <f t="shared" si="6"/>
        <v>0</v>
      </c>
      <c r="H96" s="41">
        <f t="shared" si="6"/>
        <v>0</v>
      </c>
      <c r="I96" s="41">
        <f t="shared" si="6"/>
        <v>0</v>
      </c>
      <c r="J96" s="41">
        <f t="shared" si="6"/>
        <v>0</v>
      </c>
    </row>
    <row r="97" spans="2:10" ht="20.100000000000001" customHeight="1" x14ac:dyDescent="0.25">
      <c r="B97" s="36"/>
      <c r="C97" s="41"/>
      <c r="D97" s="41" t="s">
        <v>93</v>
      </c>
      <c r="E97" s="41" t="s">
        <v>93</v>
      </c>
      <c r="F97" s="41" t="s">
        <v>93</v>
      </c>
      <c r="G97" s="41" t="s">
        <v>93</v>
      </c>
      <c r="H97" s="41" t="s">
        <v>93</v>
      </c>
      <c r="I97" s="41" t="s">
        <v>93</v>
      </c>
      <c r="J97" s="41" t="s">
        <v>93</v>
      </c>
    </row>
    <row r="98" spans="2:10" ht="20.100000000000001" customHeight="1" x14ac:dyDescent="0.25">
      <c r="B98" s="36"/>
      <c r="C98" s="41" t="s">
        <v>12</v>
      </c>
      <c r="D98" s="41">
        <v>17</v>
      </c>
      <c r="E98" s="41">
        <v>13</v>
      </c>
      <c r="F98" s="41">
        <v>16</v>
      </c>
      <c r="G98" s="41">
        <v>17</v>
      </c>
      <c r="H98" s="41">
        <v>9</v>
      </c>
      <c r="I98" s="41">
        <v>9</v>
      </c>
      <c r="J98" s="41">
        <v>12</v>
      </c>
    </row>
    <row r="99" spans="2:10" ht="20.100000000000001" customHeight="1" x14ac:dyDescent="0.25">
      <c r="B99" s="36"/>
    </row>
    <row r="100" spans="2:10" ht="20.100000000000001" customHeight="1" x14ac:dyDescent="0.25">
      <c r="B100" s="13" t="s">
        <v>84</v>
      </c>
      <c r="C100" s="57">
        <f>SUM(B88:B94)</f>
        <v>0</v>
      </c>
    </row>
    <row r="103" spans="2:10" ht="20.100000000000001" customHeight="1" x14ac:dyDescent="0.25">
      <c r="B103" s="5" t="s">
        <v>113</v>
      </c>
    </row>
    <row r="104" spans="2:10" ht="20.100000000000001" customHeight="1" x14ac:dyDescent="0.25">
      <c r="B104" s="33" t="s">
        <v>84</v>
      </c>
      <c r="C104" s="58">
        <f>SUMPRODUCT(B107:B115,D107:D115)</f>
        <v>70000000</v>
      </c>
      <c r="D104" s="35"/>
      <c r="E104" s="38"/>
      <c r="F104" s="38"/>
    </row>
    <row r="105" spans="2:10" ht="20.100000000000001" customHeight="1" x14ac:dyDescent="0.25">
      <c r="B105" s="38"/>
      <c r="C105" s="38"/>
      <c r="D105" s="38"/>
      <c r="E105" s="38"/>
      <c r="F105" s="38"/>
    </row>
    <row r="106" spans="2:10" ht="20.100000000000001" customHeight="1" x14ac:dyDescent="0.25">
      <c r="B106" s="20" t="s">
        <v>97</v>
      </c>
      <c r="C106" s="13" t="s">
        <v>98</v>
      </c>
      <c r="D106" s="21" t="s">
        <v>99</v>
      </c>
      <c r="E106" s="22" t="s">
        <v>100</v>
      </c>
      <c r="F106" s="22" t="s">
        <v>101</v>
      </c>
    </row>
    <row r="107" spans="2:10" ht="20.100000000000001" customHeight="1" x14ac:dyDescent="0.25">
      <c r="B107" s="41">
        <v>1</v>
      </c>
      <c r="C107" s="41" t="s">
        <v>102</v>
      </c>
      <c r="D107" s="59">
        <v>14000000</v>
      </c>
      <c r="E107" s="59">
        <v>12000000</v>
      </c>
      <c r="F107" s="59">
        <v>3000000</v>
      </c>
    </row>
    <row r="108" spans="2:10" ht="20.100000000000001" customHeight="1" x14ac:dyDescent="0.25">
      <c r="B108" s="41">
        <v>0</v>
      </c>
      <c r="C108" s="41" t="s">
        <v>103</v>
      </c>
      <c r="D108" s="59">
        <v>17000000</v>
      </c>
      <c r="E108" s="59">
        <v>54000000</v>
      </c>
      <c r="F108" s="59">
        <v>7000000</v>
      </c>
    </row>
    <row r="109" spans="2:10" ht="20.100000000000001" customHeight="1" x14ac:dyDescent="0.25">
      <c r="B109" s="41">
        <v>1</v>
      </c>
      <c r="C109" s="41" t="s">
        <v>104</v>
      </c>
      <c r="D109" s="59">
        <v>17000000</v>
      </c>
      <c r="E109" s="59">
        <v>6000000</v>
      </c>
      <c r="F109" s="59">
        <v>6000000</v>
      </c>
    </row>
    <row r="110" spans="2:10" ht="20.100000000000001" customHeight="1" x14ac:dyDescent="0.25">
      <c r="B110" s="41">
        <v>1</v>
      </c>
      <c r="C110" s="41" t="s">
        <v>105</v>
      </c>
      <c r="D110" s="59">
        <v>15000000</v>
      </c>
      <c r="E110" s="59">
        <v>6000000</v>
      </c>
      <c r="F110" s="59">
        <v>2000000</v>
      </c>
    </row>
    <row r="111" spans="2:10" ht="20.100000000000001" customHeight="1" x14ac:dyDescent="0.25">
      <c r="B111" s="41">
        <v>0</v>
      </c>
      <c r="C111" s="41" t="s">
        <v>106</v>
      </c>
      <c r="D111" s="59">
        <v>40000000</v>
      </c>
      <c r="E111" s="59">
        <v>32000000</v>
      </c>
      <c r="F111" s="59">
        <v>35000000</v>
      </c>
    </row>
    <row r="112" spans="2:10" ht="20.100000000000001" customHeight="1" x14ac:dyDescent="0.25">
      <c r="B112" s="41">
        <v>1</v>
      </c>
      <c r="C112" s="41" t="s">
        <v>107</v>
      </c>
      <c r="D112" s="59">
        <v>12000000</v>
      </c>
      <c r="E112" s="59">
        <v>6000000</v>
      </c>
      <c r="F112" s="59">
        <v>6000000</v>
      </c>
    </row>
    <row r="113" spans="2:6" ht="20.100000000000001" customHeight="1" x14ac:dyDescent="0.25">
      <c r="B113" s="41">
        <v>0</v>
      </c>
      <c r="C113" s="41" t="s">
        <v>108</v>
      </c>
      <c r="D113" s="59">
        <v>14000000</v>
      </c>
      <c r="E113" s="59">
        <v>48000000</v>
      </c>
      <c r="F113" s="59">
        <v>4000000</v>
      </c>
    </row>
    <row r="114" spans="2:6" ht="20.100000000000001" customHeight="1" x14ac:dyDescent="0.25">
      <c r="B114" s="41">
        <v>0</v>
      </c>
      <c r="C114" s="41" t="s">
        <v>109</v>
      </c>
      <c r="D114" s="59">
        <v>10000000</v>
      </c>
      <c r="E114" s="59">
        <v>36000000</v>
      </c>
      <c r="F114" s="59">
        <v>3000000</v>
      </c>
    </row>
    <row r="115" spans="2:6" ht="20.100000000000001" customHeight="1" x14ac:dyDescent="0.25">
      <c r="B115" s="41">
        <v>1</v>
      </c>
      <c r="C115" s="41" t="s">
        <v>110</v>
      </c>
      <c r="D115" s="59">
        <v>12000000</v>
      </c>
      <c r="E115" s="59">
        <v>18000000</v>
      </c>
      <c r="F115" s="59">
        <v>3000000</v>
      </c>
    </row>
    <row r="116" spans="2:6" ht="20.100000000000001" customHeight="1" x14ac:dyDescent="0.25">
      <c r="B116" s="38"/>
      <c r="C116" s="38"/>
      <c r="D116" s="19"/>
      <c r="E116" s="19"/>
      <c r="F116" s="19"/>
    </row>
    <row r="117" spans="2:6" ht="20.100000000000001" customHeight="1" x14ac:dyDescent="0.25">
      <c r="B117" s="33" t="s">
        <v>111</v>
      </c>
      <c r="C117" s="59">
        <f>SUMPRODUCT($B$107:$B$115,E107:E115)</f>
        <v>48000000</v>
      </c>
      <c r="D117" s="59">
        <f>SUMPRODUCT($B$107:$B$115,F107:F115)</f>
        <v>20000000</v>
      </c>
      <c r="E117" s="35"/>
      <c r="F117" s="35"/>
    </row>
    <row r="118" spans="2:6" ht="20.100000000000001" customHeight="1" x14ac:dyDescent="0.25">
      <c r="B118" s="33" t="s">
        <v>112</v>
      </c>
      <c r="C118" s="59">
        <v>50000000</v>
      </c>
      <c r="D118" s="59">
        <v>20000000</v>
      </c>
      <c r="E118" s="35"/>
      <c r="F118" s="35"/>
    </row>
    <row r="121" spans="2:6" ht="20.100000000000001" customHeight="1" x14ac:dyDescent="0.25">
      <c r="B121" s="5" t="s">
        <v>129</v>
      </c>
    </row>
    <row r="122" spans="2:6" ht="20.100000000000001" customHeight="1" x14ac:dyDescent="0.25">
      <c r="B122" s="25" t="s">
        <v>115</v>
      </c>
      <c r="C122" s="51">
        <v>5000000</v>
      </c>
      <c r="D122" s="38"/>
      <c r="E122" s="38"/>
      <c r="F122" s="38"/>
    </row>
    <row r="123" spans="2:6" ht="20.100000000000001" customHeight="1" x14ac:dyDescent="0.25">
      <c r="B123" s="26"/>
      <c r="C123" s="60"/>
      <c r="D123" s="38"/>
      <c r="E123" s="38"/>
      <c r="F123" s="38"/>
    </row>
    <row r="124" spans="2:6" ht="20.100000000000001" customHeight="1" x14ac:dyDescent="0.25">
      <c r="B124" s="6" t="s">
        <v>116</v>
      </c>
      <c r="C124" s="31" t="s">
        <v>117</v>
      </c>
      <c r="D124" s="6" t="s">
        <v>118</v>
      </c>
      <c r="E124" s="31" t="s">
        <v>119</v>
      </c>
      <c r="F124" s="31" t="s">
        <v>120</v>
      </c>
    </row>
    <row r="125" spans="2:6" ht="20.100000000000001" customHeight="1" x14ac:dyDescent="0.25">
      <c r="B125" s="41" t="s">
        <v>121</v>
      </c>
      <c r="C125" s="61">
        <v>6.9000000000000006E-2</v>
      </c>
      <c r="D125" s="62">
        <v>1000000</v>
      </c>
      <c r="E125" s="62">
        <f>D125*C125</f>
        <v>69000</v>
      </c>
      <c r="F125" s="61">
        <f>D125/$D$130</f>
        <v>0.2</v>
      </c>
    </row>
    <row r="126" spans="2:6" ht="20.100000000000001" customHeight="1" x14ac:dyDescent="0.25">
      <c r="B126" s="41" t="s">
        <v>122</v>
      </c>
      <c r="C126" s="61">
        <v>8.2500000000000004E-2</v>
      </c>
      <c r="D126" s="62">
        <v>1000000</v>
      </c>
      <c r="E126" s="62">
        <f>D126*C126</f>
        <v>82500</v>
      </c>
      <c r="F126" s="61">
        <f t="shared" ref="F126:F130" si="7">D126/$D$130</f>
        <v>0.2</v>
      </c>
    </row>
    <row r="127" spans="2:6" ht="20.100000000000001" customHeight="1" x14ac:dyDescent="0.25">
      <c r="B127" s="41" t="s">
        <v>123</v>
      </c>
      <c r="C127" s="61">
        <v>8.8999999999999996E-2</v>
      </c>
      <c r="D127" s="62">
        <v>1000000</v>
      </c>
      <c r="E127" s="62">
        <f>D127*C127</f>
        <v>89000</v>
      </c>
      <c r="F127" s="61">
        <f t="shared" si="7"/>
        <v>0.2</v>
      </c>
    </row>
    <row r="128" spans="2:6" ht="20.100000000000001" customHeight="1" x14ac:dyDescent="0.25">
      <c r="B128" s="41" t="s">
        <v>124</v>
      </c>
      <c r="C128" s="61">
        <v>0.13</v>
      </c>
      <c r="D128" s="62">
        <v>1000000</v>
      </c>
      <c r="E128" s="62">
        <f>D128*C128</f>
        <v>130000</v>
      </c>
      <c r="F128" s="61">
        <f t="shared" si="7"/>
        <v>0.2</v>
      </c>
    </row>
    <row r="129" spans="2:17" ht="20.100000000000001" customHeight="1" x14ac:dyDescent="0.25">
      <c r="B129" s="41" t="s">
        <v>125</v>
      </c>
      <c r="C129" s="61">
        <v>4.5999999999999999E-2</v>
      </c>
      <c r="D129" s="62">
        <v>1000000</v>
      </c>
      <c r="E129" s="62">
        <f>D129*C129</f>
        <v>46000</v>
      </c>
      <c r="F129" s="61">
        <f t="shared" si="7"/>
        <v>0.2</v>
      </c>
    </row>
    <row r="130" spans="2:17" ht="20.100000000000001" customHeight="1" x14ac:dyDescent="0.25">
      <c r="B130" s="23" t="s">
        <v>126</v>
      </c>
      <c r="C130" s="61"/>
      <c r="D130" s="62">
        <f>SUM(D125:D129)</f>
        <v>5000000</v>
      </c>
      <c r="E130" s="62">
        <f>SUM(E125:E129)</f>
        <v>416500</v>
      </c>
      <c r="F130" s="61">
        <f t="shared" si="7"/>
        <v>1</v>
      </c>
    </row>
    <row r="131" spans="2:17" ht="20.100000000000001" customHeight="1" x14ac:dyDescent="0.25">
      <c r="B131" s="38"/>
      <c r="C131" s="38"/>
      <c r="D131" s="38"/>
      <c r="E131" s="38"/>
      <c r="F131" s="38"/>
    </row>
    <row r="132" spans="2:17" ht="20.100000000000001" customHeight="1" x14ac:dyDescent="0.25">
      <c r="B132" s="25" t="s">
        <v>127</v>
      </c>
      <c r="C132" s="24">
        <f>E130/$C$122</f>
        <v>8.3299999999999999E-2</v>
      </c>
      <c r="E132" s="25" t="s">
        <v>128</v>
      </c>
      <c r="F132" s="24">
        <f>F125+F126</f>
        <v>0.4</v>
      </c>
    </row>
    <row r="133" spans="2:17" ht="20.100000000000001" customHeight="1" x14ac:dyDescent="0.25">
      <c r="B133" s="38"/>
      <c r="C133" s="38"/>
      <c r="D133" s="38"/>
      <c r="E133" s="38"/>
      <c r="F133" s="38"/>
    </row>
    <row r="134" spans="2:17" ht="20.100000000000001" customHeight="1" x14ac:dyDescent="0.25">
      <c r="B134" s="38"/>
      <c r="C134" s="38"/>
      <c r="F134" s="38"/>
    </row>
    <row r="137" spans="2:17" ht="20.100000000000001" customHeight="1" x14ac:dyDescent="0.25">
      <c r="B137" s="5" t="s">
        <v>139</v>
      </c>
    </row>
    <row r="138" spans="2:17" ht="20.100000000000001" customHeight="1" x14ac:dyDescent="0.25">
      <c r="B138" s="63"/>
      <c r="C138" s="35"/>
      <c r="D138" s="67" t="s">
        <v>131</v>
      </c>
      <c r="E138" s="68"/>
      <c r="F138" s="68"/>
      <c r="G138" s="69"/>
      <c r="H138" s="70" t="s">
        <v>132</v>
      </c>
      <c r="I138" s="71"/>
      <c r="J138" s="71"/>
      <c r="K138" s="72"/>
      <c r="L138" s="35"/>
      <c r="M138" s="35"/>
      <c r="N138" s="35"/>
      <c r="O138" s="35"/>
      <c r="P138" s="35"/>
      <c r="Q138" s="35"/>
    </row>
    <row r="139" spans="2:17" ht="20.100000000000001" customHeight="1" x14ac:dyDescent="0.25">
      <c r="B139" s="32" t="s">
        <v>133</v>
      </c>
      <c r="C139" s="32" t="s">
        <v>134</v>
      </c>
      <c r="D139" s="32">
        <v>1</v>
      </c>
      <c r="E139" s="32">
        <v>2</v>
      </c>
      <c r="F139" s="32">
        <v>3</v>
      </c>
      <c r="G139" s="32">
        <v>4</v>
      </c>
      <c r="H139" s="32">
        <v>1</v>
      </c>
      <c r="I139" s="32">
        <v>2</v>
      </c>
      <c r="J139" s="32">
        <v>3</v>
      </c>
      <c r="K139" s="32">
        <v>4</v>
      </c>
      <c r="L139" s="32" t="s">
        <v>131</v>
      </c>
      <c r="M139" s="32" t="s">
        <v>132</v>
      </c>
      <c r="N139" s="35"/>
      <c r="O139" s="35"/>
      <c r="P139" s="35"/>
      <c r="Q139" s="35"/>
    </row>
    <row r="140" spans="2:17" ht="20.100000000000001" customHeight="1" x14ac:dyDescent="0.25">
      <c r="B140" s="43">
        <v>1</v>
      </c>
      <c r="C140" s="43"/>
      <c r="D140" s="43">
        <v>9</v>
      </c>
      <c r="E140" s="43">
        <v>8</v>
      </c>
      <c r="F140" s="43">
        <v>6</v>
      </c>
      <c r="G140" s="43">
        <v>8</v>
      </c>
      <c r="H140" s="43">
        <v>9</v>
      </c>
      <c r="I140" s="43">
        <v>2</v>
      </c>
      <c r="J140" s="43">
        <v>7</v>
      </c>
      <c r="K140" s="43">
        <v>7</v>
      </c>
      <c r="L140" s="43" t="e">
        <f>HLOOKUP($C140,$D$139:$G140,$B140+1,FALSE)</f>
        <v>#N/A</v>
      </c>
      <c r="M140" s="43" t="e">
        <f>HLOOKUP($C140,$H$139:$K140,$B140+1,FALSE)</f>
        <v>#N/A</v>
      </c>
      <c r="N140" s="35"/>
      <c r="O140" s="34" t="s">
        <v>134</v>
      </c>
      <c r="P140" s="34" t="s">
        <v>135</v>
      </c>
      <c r="Q140" s="64"/>
    </row>
    <row r="141" spans="2:17" ht="20.100000000000001" customHeight="1" x14ac:dyDescent="0.25">
      <c r="B141" s="43">
        <v>2</v>
      </c>
      <c r="C141" s="43"/>
      <c r="D141" s="43">
        <v>10</v>
      </c>
      <c r="E141" s="43">
        <v>0</v>
      </c>
      <c r="F141" s="43">
        <v>5</v>
      </c>
      <c r="G141" s="43">
        <v>6</v>
      </c>
      <c r="H141" s="43">
        <v>9</v>
      </c>
      <c r="I141" s="43">
        <v>6</v>
      </c>
      <c r="J141" s="43">
        <v>7</v>
      </c>
      <c r="K141" s="43">
        <v>4</v>
      </c>
      <c r="L141" s="43" t="e">
        <f>HLOOKUP($C141,$D$139:$G141,$B141+1,FALSE)</f>
        <v>#N/A</v>
      </c>
      <c r="M141" s="43" t="e">
        <f>HLOOKUP($C141,$H$139:$K141,$B141+1,FALSE)</f>
        <v>#N/A</v>
      </c>
      <c r="N141" s="35"/>
      <c r="O141" s="43">
        <v>1</v>
      </c>
      <c r="P141" s="43">
        <f>COUNTIF($C$140:$C$179,$O141)</f>
        <v>0</v>
      </c>
      <c r="Q141" s="43">
        <f>IF(OR(P141&lt;8,P141&gt;12),1,0)</f>
        <v>1</v>
      </c>
    </row>
    <row r="142" spans="2:17" ht="20.100000000000001" customHeight="1" x14ac:dyDescent="0.25">
      <c r="B142" s="43">
        <v>3</v>
      </c>
      <c r="C142" s="43"/>
      <c r="D142" s="43">
        <v>5</v>
      </c>
      <c r="E142" s="43">
        <v>8</v>
      </c>
      <c r="F142" s="43">
        <v>10</v>
      </c>
      <c r="G142" s="43">
        <v>5</v>
      </c>
      <c r="H142" s="43">
        <v>7</v>
      </c>
      <c r="I142" s="43">
        <v>7</v>
      </c>
      <c r="J142" s="43">
        <v>7</v>
      </c>
      <c r="K142" s="43">
        <v>3</v>
      </c>
      <c r="L142" s="43" t="e">
        <f>HLOOKUP($C142,$D$139:$G142,$B142+1,FALSE)</f>
        <v>#N/A</v>
      </c>
      <c r="M142" s="43" t="e">
        <f>HLOOKUP($C142,$H$139:$K142,$B142+1,FALSE)</f>
        <v>#N/A</v>
      </c>
      <c r="N142" s="35"/>
      <c r="O142" s="43">
        <v>2</v>
      </c>
      <c r="P142" s="43">
        <f t="shared" ref="P142:P144" si="8">COUNTIF($C$140:$C$179,$O142)</f>
        <v>0</v>
      </c>
      <c r="Q142" s="43">
        <f>IF(OR(P142&lt;8,P142&gt;12),1,0)</f>
        <v>1</v>
      </c>
    </row>
    <row r="143" spans="2:17" ht="20.100000000000001" customHeight="1" x14ac:dyDescent="0.25">
      <c r="B143" s="43">
        <v>4</v>
      </c>
      <c r="C143" s="43"/>
      <c r="D143" s="43">
        <v>4</v>
      </c>
      <c r="E143" s="43">
        <v>0</v>
      </c>
      <c r="F143" s="43">
        <v>5</v>
      </c>
      <c r="G143" s="43">
        <v>2</v>
      </c>
      <c r="H143" s="43">
        <v>9</v>
      </c>
      <c r="I143" s="43">
        <v>1</v>
      </c>
      <c r="J143" s="43">
        <v>0</v>
      </c>
      <c r="K143" s="43">
        <v>3</v>
      </c>
      <c r="L143" s="43" t="e">
        <f>HLOOKUP($C143,$D$139:$G143,$B143+1,FALSE)</f>
        <v>#N/A</v>
      </c>
      <c r="M143" s="43" t="e">
        <f>HLOOKUP($C143,$H$139:$K143,$B143+1,FALSE)</f>
        <v>#N/A</v>
      </c>
      <c r="N143" s="35"/>
      <c r="O143" s="43">
        <v>3</v>
      </c>
      <c r="P143" s="43">
        <f t="shared" si="8"/>
        <v>0</v>
      </c>
      <c r="Q143" s="43">
        <f>IF(OR(P143&lt;8,P143&gt;12),1,0)</f>
        <v>1</v>
      </c>
    </row>
    <row r="144" spans="2:17" ht="20.100000000000001" customHeight="1" x14ac:dyDescent="0.25">
      <c r="B144" s="43">
        <v>5</v>
      </c>
      <c r="C144" s="43"/>
      <c r="D144" s="43">
        <v>9</v>
      </c>
      <c r="E144" s="43">
        <v>10</v>
      </c>
      <c r="F144" s="43">
        <v>4</v>
      </c>
      <c r="G144" s="43">
        <v>5</v>
      </c>
      <c r="H144" s="43">
        <v>9</v>
      </c>
      <c r="I144" s="43">
        <v>8</v>
      </c>
      <c r="J144" s="43">
        <v>8</v>
      </c>
      <c r="K144" s="43">
        <v>3</v>
      </c>
      <c r="L144" s="43" t="e">
        <f>HLOOKUP($C144,$D$139:$G144,$B144+1,FALSE)</f>
        <v>#N/A</v>
      </c>
      <c r="M144" s="43" t="e">
        <f>HLOOKUP($C144,$H$139:$K144,$B144+1,FALSE)</f>
        <v>#N/A</v>
      </c>
      <c r="N144" s="35"/>
      <c r="O144" s="43">
        <v>4</v>
      </c>
      <c r="P144" s="43">
        <f t="shared" si="8"/>
        <v>0</v>
      </c>
      <c r="Q144" s="43">
        <f>IF(OR(P144&lt;8,P144&gt;12),1,0)</f>
        <v>1</v>
      </c>
    </row>
    <row r="145" spans="2:17" ht="20.100000000000001" customHeight="1" x14ac:dyDescent="0.25">
      <c r="B145" s="43">
        <v>6</v>
      </c>
      <c r="C145" s="43"/>
      <c r="D145" s="43">
        <v>5</v>
      </c>
      <c r="E145" s="43">
        <v>2</v>
      </c>
      <c r="F145" s="43">
        <v>7</v>
      </c>
      <c r="G145" s="43">
        <v>2</v>
      </c>
      <c r="H145" s="43">
        <v>9</v>
      </c>
      <c r="I145" s="43">
        <v>1</v>
      </c>
      <c r="J145" s="43">
        <v>0</v>
      </c>
      <c r="K145" s="43">
        <v>3</v>
      </c>
      <c r="L145" s="43" t="e">
        <f>HLOOKUP($C145,$D$139:$G145,$B145+1,FALSE)</f>
        <v>#N/A</v>
      </c>
      <c r="M145" s="43" t="e">
        <f>HLOOKUP($C145,$H$139:$K145,$B145+1,FALSE)</f>
        <v>#N/A</v>
      </c>
      <c r="N145" s="35"/>
      <c r="O145" s="38"/>
      <c r="P145" s="38"/>
      <c r="Q145" s="38"/>
    </row>
    <row r="146" spans="2:17" ht="20.100000000000001" customHeight="1" x14ac:dyDescent="0.25">
      <c r="B146" s="43">
        <v>7</v>
      </c>
      <c r="C146" s="43"/>
      <c r="D146" s="43">
        <v>8</v>
      </c>
      <c r="E146" s="43">
        <v>3</v>
      </c>
      <c r="F146" s="43">
        <v>1</v>
      </c>
      <c r="G146" s="43">
        <v>5</v>
      </c>
      <c r="H146" s="43">
        <v>9</v>
      </c>
      <c r="I146" s="43">
        <v>8</v>
      </c>
      <c r="J146" s="43">
        <v>8</v>
      </c>
      <c r="K146" s="43">
        <v>3</v>
      </c>
      <c r="L146" s="43" t="e">
        <f>HLOOKUP($C146,$D$139:$G146,$B146+1,FALSE)</f>
        <v>#N/A</v>
      </c>
      <c r="M146" s="43" t="e">
        <f>HLOOKUP($C146,$H$139:$K146,$B146+1,FALSE)</f>
        <v>#N/A</v>
      </c>
      <c r="N146" s="35"/>
      <c r="O146" s="34" t="s">
        <v>136</v>
      </c>
      <c r="P146" s="65" t="e">
        <f>SUM(M140:M179)</f>
        <v>#N/A</v>
      </c>
      <c r="Q146" s="38"/>
    </row>
    <row r="147" spans="2:17" ht="20.100000000000001" customHeight="1" x14ac:dyDescent="0.25">
      <c r="B147" s="43">
        <v>8</v>
      </c>
      <c r="C147" s="43"/>
      <c r="D147" s="43">
        <v>2</v>
      </c>
      <c r="E147" s="43">
        <v>7</v>
      </c>
      <c r="F147" s="43">
        <v>9</v>
      </c>
      <c r="G147" s="43">
        <v>3</v>
      </c>
      <c r="H147" s="43">
        <v>2</v>
      </c>
      <c r="I147" s="43">
        <v>8</v>
      </c>
      <c r="J147" s="43">
        <v>1</v>
      </c>
      <c r="K147" s="43">
        <v>5</v>
      </c>
      <c r="L147" s="43" t="e">
        <f>HLOOKUP($C147,$D$139:$G147,$B147+1,FALSE)</f>
        <v>#N/A</v>
      </c>
      <c r="M147" s="43" t="e">
        <f>HLOOKUP($C147,$H$139:$K147,$B147+1,FALSE)</f>
        <v>#N/A</v>
      </c>
      <c r="N147" s="35"/>
      <c r="O147" s="35"/>
      <c r="P147" s="35"/>
      <c r="Q147" s="35"/>
    </row>
    <row r="148" spans="2:17" ht="20.100000000000001" customHeight="1" x14ac:dyDescent="0.25">
      <c r="B148" s="43">
        <v>9</v>
      </c>
      <c r="C148" s="43"/>
      <c r="D148" s="43">
        <v>8</v>
      </c>
      <c r="E148" s="43">
        <v>0</v>
      </c>
      <c r="F148" s="43">
        <v>6</v>
      </c>
      <c r="G148" s="43">
        <v>2</v>
      </c>
      <c r="H148" s="43">
        <v>7</v>
      </c>
      <c r="I148" s="43">
        <v>8</v>
      </c>
      <c r="J148" s="43">
        <v>2</v>
      </c>
      <c r="K148" s="43">
        <v>2</v>
      </c>
      <c r="L148" s="43" t="e">
        <f>HLOOKUP($C148,$D$139:$G148,$B148+1,FALSE)</f>
        <v>#N/A</v>
      </c>
      <c r="M148" s="43" t="e">
        <f>HLOOKUP($C148,$H$139:$K148,$B148+1,FALSE)</f>
        <v>#N/A</v>
      </c>
      <c r="N148" s="35"/>
      <c r="O148" s="35"/>
      <c r="P148" s="35"/>
      <c r="Q148" s="35"/>
    </row>
    <row r="149" spans="2:17" ht="20.100000000000001" customHeight="1" x14ac:dyDescent="0.25">
      <c r="B149" s="43">
        <v>10</v>
      </c>
      <c r="C149" s="43"/>
      <c r="D149" s="43">
        <v>7</v>
      </c>
      <c r="E149" s="43">
        <v>1</v>
      </c>
      <c r="F149" s="43">
        <v>1</v>
      </c>
      <c r="G149" s="43">
        <v>2</v>
      </c>
      <c r="H149" s="43">
        <v>8</v>
      </c>
      <c r="I149" s="43">
        <v>3</v>
      </c>
      <c r="J149" s="43">
        <v>1</v>
      </c>
      <c r="K149" s="43">
        <v>6</v>
      </c>
      <c r="L149" s="43" t="e">
        <f>HLOOKUP($C149,$D$139:$G149,$B149+1,FALSE)</f>
        <v>#N/A</v>
      </c>
      <c r="M149" s="43" t="e">
        <f>HLOOKUP($C149,$H$139:$K149,$B149+1,FALSE)</f>
        <v>#N/A</v>
      </c>
      <c r="N149" s="35"/>
      <c r="O149" s="35"/>
      <c r="P149" s="35"/>
      <c r="Q149" s="35"/>
    </row>
    <row r="150" spans="2:17" ht="20.100000000000001" customHeight="1" x14ac:dyDescent="0.25">
      <c r="B150" s="43">
        <v>11</v>
      </c>
      <c r="C150" s="43"/>
      <c r="D150" s="43">
        <v>8</v>
      </c>
      <c r="E150" s="43">
        <v>7</v>
      </c>
      <c r="F150" s="43">
        <v>6</v>
      </c>
      <c r="G150" s="43">
        <v>3</v>
      </c>
      <c r="H150" s="43">
        <v>4</v>
      </c>
      <c r="I150" s="43">
        <v>3</v>
      </c>
      <c r="J150" s="43">
        <v>4</v>
      </c>
      <c r="K150" s="43">
        <v>1</v>
      </c>
      <c r="L150" s="43" t="e">
        <f>HLOOKUP($C150,$D$139:$G150,$B150+1,FALSE)</f>
        <v>#N/A</v>
      </c>
      <c r="M150" s="43" t="e">
        <f>HLOOKUP($C150,$H$139:$K150,$B150+1,FALSE)</f>
        <v>#N/A</v>
      </c>
      <c r="N150" s="35"/>
      <c r="O150" s="35"/>
      <c r="P150" s="35"/>
      <c r="Q150" s="35"/>
    </row>
    <row r="151" spans="2:17" ht="20.100000000000001" customHeight="1" x14ac:dyDescent="0.25">
      <c r="B151" s="43">
        <v>12</v>
      </c>
      <c r="C151" s="43"/>
      <c r="D151" s="43">
        <v>0</v>
      </c>
      <c r="E151" s="43">
        <v>0</v>
      </c>
      <c r="F151" s="43">
        <v>1</v>
      </c>
      <c r="G151" s="43">
        <v>8</v>
      </c>
      <c r="H151" s="43">
        <v>4</v>
      </c>
      <c r="I151" s="43">
        <v>1</v>
      </c>
      <c r="J151" s="43">
        <v>5</v>
      </c>
      <c r="K151" s="43">
        <v>4</v>
      </c>
      <c r="L151" s="43" t="e">
        <f>HLOOKUP($C151,$D$139:$G151,$B151+1,FALSE)</f>
        <v>#N/A</v>
      </c>
      <c r="M151" s="43" t="e">
        <f>HLOOKUP($C151,$H$139:$K151,$B151+1,FALSE)</f>
        <v>#N/A</v>
      </c>
      <c r="N151" s="35"/>
      <c r="O151" s="35"/>
      <c r="P151" s="35"/>
      <c r="Q151" s="35"/>
    </row>
    <row r="152" spans="2:17" ht="20.100000000000001" customHeight="1" x14ac:dyDescent="0.25">
      <c r="B152" s="43">
        <v>13</v>
      </c>
      <c r="C152" s="43"/>
      <c r="D152" s="43">
        <v>9</v>
      </c>
      <c r="E152" s="43">
        <v>2</v>
      </c>
      <c r="F152" s="43">
        <v>6</v>
      </c>
      <c r="G152" s="43">
        <v>6</v>
      </c>
      <c r="H152" s="43">
        <v>9</v>
      </c>
      <c r="I152" s="43">
        <v>0</v>
      </c>
      <c r="J152" s="43">
        <v>9</v>
      </c>
      <c r="K152" s="43">
        <v>3</v>
      </c>
      <c r="L152" s="43" t="e">
        <f>HLOOKUP($C152,$D$139:$G152,$B152+1,FALSE)</f>
        <v>#N/A</v>
      </c>
      <c r="M152" s="43" t="e">
        <f>HLOOKUP($C152,$H$139:$K152,$B152+1,FALSE)</f>
        <v>#N/A</v>
      </c>
      <c r="N152" s="35"/>
      <c r="O152" s="35"/>
      <c r="P152" s="35"/>
      <c r="Q152" s="35"/>
    </row>
    <row r="153" spans="2:17" ht="20.100000000000001" customHeight="1" x14ac:dyDescent="0.25">
      <c r="B153" s="43">
        <v>14</v>
      </c>
      <c r="C153" s="43"/>
      <c r="D153" s="43">
        <v>9</v>
      </c>
      <c r="E153" s="43">
        <v>3</v>
      </c>
      <c r="F153" s="43">
        <v>1</v>
      </c>
      <c r="G153" s="43">
        <v>2</v>
      </c>
      <c r="H153" s="43">
        <v>5</v>
      </c>
      <c r="I153" s="43">
        <v>2</v>
      </c>
      <c r="J153" s="43">
        <v>3</v>
      </c>
      <c r="K153" s="43">
        <v>1</v>
      </c>
      <c r="L153" s="43" t="e">
        <f>HLOOKUP($C153,$D$139:$G153,$B153+1,FALSE)</f>
        <v>#N/A</v>
      </c>
      <c r="M153" s="43" t="e">
        <f>HLOOKUP($C153,$H$139:$K153,$B153+1,FALSE)</f>
        <v>#N/A</v>
      </c>
      <c r="N153" s="35"/>
      <c r="O153" s="35"/>
      <c r="P153" s="35"/>
      <c r="Q153" s="35"/>
    </row>
    <row r="154" spans="2:17" ht="20.100000000000001" customHeight="1" x14ac:dyDescent="0.25">
      <c r="B154" s="43">
        <v>15</v>
      </c>
      <c r="C154" s="43"/>
      <c r="D154" s="43">
        <v>1</v>
      </c>
      <c r="E154" s="43">
        <v>6</v>
      </c>
      <c r="F154" s="43">
        <v>5</v>
      </c>
      <c r="G154" s="43">
        <v>4</v>
      </c>
      <c r="H154" s="43">
        <v>7</v>
      </c>
      <c r="I154" s="43">
        <v>0</v>
      </c>
      <c r="J154" s="43">
        <v>7</v>
      </c>
      <c r="K154" s="43">
        <v>8</v>
      </c>
      <c r="L154" s="43" t="e">
        <f>HLOOKUP($C154,$D$139:$G154,$B154+1,FALSE)</f>
        <v>#N/A</v>
      </c>
      <c r="M154" s="43" t="e">
        <f>HLOOKUP($C154,$H$139:$K154,$B154+1,FALSE)</f>
        <v>#N/A</v>
      </c>
      <c r="N154" s="35"/>
      <c r="O154" s="35"/>
      <c r="P154" s="35"/>
      <c r="Q154" s="35"/>
    </row>
    <row r="155" spans="2:17" ht="20.100000000000001" customHeight="1" x14ac:dyDescent="0.25">
      <c r="B155" s="43">
        <v>16</v>
      </c>
      <c r="C155" s="43"/>
      <c r="D155" s="43">
        <v>9</v>
      </c>
      <c r="E155" s="43">
        <v>0</v>
      </c>
      <c r="F155" s="43">
        <v>2</v>
      </c>
      <c r="G155" s="43">
        <v>7</v>
      </c>
      <c r="H155" s="43">
        <v>1</v>
      </c>
      <c r="I155" s="43">
        <v>1</v>
      </c>
      <c r="J155" s="43">
        <v>2</v>
      </c>
      <c r="K155" s="43">
        <v>10</v>
      </c>
      <c r="L155" s="43" t="e">
        <f>HLOOKUP($C155,$D$139:$G155,$B155+1,FALSE)</f>
        <v>#N/A</v>
      </c>
      <c r="M155" s="43" t="e">
        <f>HLOOKUP($C155,$H$139:$K155,$B155+1,FALSE)</f>
        <v>#N/A</v>
      </c>
      <c r="N155" s="35"/>
      <c r="O155" s="35"/>
      <c r="P155" s="35"/>
      <c r="Q155" s="35"/>
    </row>
    <row r="156" spans="2:17" ht="20.100000000000001" customHeight="1" x14ac:dyDescent="0.25">
      <c r="B156" s="43">
        <v>17</v>
      </c>
      <c r="C156" s="43"/>
      <c r="D156" s="43">
        <v>8</v>
      </c>
      <c r="E156" s="43">
        <v>7</v>
      </c>
      <c r="F156" s="43">
        <v>8</v>
      </c>
      <c r="G156" s="43">
        <v>4</v>
      </c>
      <c r="H156" s="43">
        <v>8</v>
      </c>
      <c r="I156" s="43">
        <v>8</v>
      </c>
      <c r="J156" s="43">
        <v>6</v>
      </c>
      <c r="K156" s="43">
        <v>8</v>
      </c>
      <c r="L156" s="43" t="e">
        <f>HLOOKUP($C156,$D$139:$G156,$B156+1,FALSE)</f>
        <v>#N/A</v>
      </c>
      <c r="M156" s="43" t="e">
        <f>HLOOKUP($C156,$H$139:$K156,$B156+1,FALSE)</f>
        <v>#N/A</v>
      </c>
      <c r="N156" s="35"/>
      <c r="O156" s="35"/>
      <c r="P156" s="35"/>
      <c r="Q156" s="35"/>
    </row>
    <row r="157" spans="2:17" ht="20.100000000000001" customHeight="1" x14ac:dyDescent="0.25">
      <c r="B157" s="43">
        <v>18</v>
      </c>
      <c r="C157" s="43"/>
      <c r="D157" s="43">
        <v>6</v>
      </c>
      <c r="E157" s="43">
        <v>4</v>
      </c>
      <c r="F157" s="43">
        <v>3</v>
      </c>
      <c r="G157" s="43">
        <v>5</v>
      </c>
      <c r="H157" s="43">
        <v>5</v>
      </c>
      <c r="I157" s="43">
        <v>7</v>
      </c>
      <c r="J157" s="43">
        <v>8</v>
      </c>
      <c r="K157" s="43">
        <v>8</v>
      </c>
      <c r="L157" s="43" t="e">
        <f>HLOOKUP($C157,$D$139:$G157,$B157+1,FALSE)</f>
        <v>#N/A</v>
      </c>
      <c r="M157" s="43" t="e">
        <f>HLOOKUP($C157,$H$139:$K157,$B157+1,FALSE)</f>
        <v>#N/A</v>
      </c>
      <c r="N157" s="35"/>
      <c r="O157" s="35"/>
      <c r="P157" s="35"/>
      <c r="Q157" s="35"/>
    </row>
    <row r="158" spans="2:17" ht="20.100000000000001" customHeight="1" x14ac:dyDescent="0.25">
      <c r="B158" s="43">
        <v>19</v>
      </c>
      <c r="C158" s="43"/>
      <c r="D158" s="43">
        <v>6</v>
      </c>
      <c r="E158" s="43">
        <v>9</v>
      </c>
      <c r="F158" s="43">
        <v>3</v>
      </c>
      <c r="G158" s="43">
        <v>0</v>
      </c>
      <c r="H158" s="43">
        <v>5</v>
      </c>
      <c r="I158" s="43">
        <v>7</v>
      </c>
      <c r="J158" s="43">
        <v>2</v>
      </c>
      <c r="K158" s="43">
        <v>4</v>
      </c>
      <c r="L158" s="43" t="e">
        <f>HLOOKUP($C158,$D$139:$G158,$B158+1,FALSE)</f>
        <v>#N/A</v>
      </c>
      <c r="M158" s="43" t="e">
        <f>HLOOKUP($C158,$H$139:$K158,$B158+1,FALSE)</f>
        <v>#N/A</v>
      </c>
      <c r="N158" s="35"/>
      <c r="O158" s="35"/>
      <c r="P158" s="35"/>
      <c r="Q158" s="35"/>
    </row>
    <row r="159" spans="2:17" ht="20.100000000000001" customHeight="1" x14ac:dyDescent="0.25">
      <c r="B159" s="43">
        <v>20</v>
      </c>
      <c r="C159" s="43"/>
      <c r="D159" s="43">
        <v>3</v>
      </c>
      <c r="E159" s="43">
        <v>4</v>
      </c>
      <c r="F159" s="43">
        <v>3</v>
      </c>
      <c r="G159" s="43">
        <v>2</v>
      </c>
      <c r="H159" s="43">
        <v>9</v>
      </c>
      <c r="I159" s="43">
        <v>7</v>
      </c>
      <c r="J159" s="43">
        <v>1</v>
      </c>
      <c r="K159" s="43">
        <v>1</v>
      </c>
      <c r="L159" s="43" t="e">
        <f>HLOOKUP($C159,$D$139:$G159,$B159+1,FALSE)</f>
        <v>#N/A</v>
      </c>
      <c r="M159" s="43" t="e">
        <f>HLOOKUP($C159,$H$139:$K159,$B159+1,FALSE)</f>
        <v>#N/A</v>
      </c>
      <c r="N159" s="35"/>
      <c r="O159" s="35"/>
      <c r="P159" s="35"/>
      <c r="Q159" s="35"/>
    </row>
    <row r="160" spans="2:17" ht="20.100000000000001" customHeight="1" x14ac:dyDescent="0.25">
      <c r="B160" s="43">
        <v>21</v>
      </c>
      <c r="C160" s="43"/>
      <c r="D160" s="43">
        <v>4</v>
      </c>
      <c r="E160" s="43">
        <v>5</v>
      </c>
      <c r="F160" s="43">
        <v>8</v>
      </c>
      <c r="G160" s="43">
        <v>3</v>
      </c>
      <c r="H160" s="43">
        <v>9</v>
      </c>
      <c r="I160" s="43">
        <v>4</v>
      </c>
      <c r="J160" s="43">
        <v>9</v>
      </c>
      <c r="K160" s="43">
        <v>8</v>
      </c>
      <c r="L160" s="43" t="e">
        <f>HLOOKUP($C160,$D$139:$G160,$B160+1,FALSE)</f>
        <v>#N/A</v>
      </c>
      <c r="M160" s="43" t="e">
        <f>HLOOKUP($C160,$H$139:$K160,$B160+1,FALSE)</f>
        <v>#N/A</v>
      </c>
      <c r="N160" s="35"/>
      <c r="O160" s="35"/>
      <c r="P160" s="35"/>
      <c r="Q160" s="35"/>
    </row>
    <row r="161" spans="2:17" ht="20.100000000000001" customHeight="1" x14ac:dyDescent="0.25">
      <c r="B161" s="43">
        <v>22</v>
      </c>
      <c r="C161" s="43"/>
      <c r="D161" s="43">
        <v>8</v>
      </c>
      <c r="E161" s="43">
        <v>0</v>
      </c>
      <c r="F161" s="43">
        <v>4</v>
      </c>
      <c r="G161" s="43">
        <v>6</v>
      </c>
      <c r="H161" s="43">
        <v>8</v>
      </c>
      <c r="I161" s="43">
        <v>5</v>
      </c>
      <c r="J161" s="43">
        <v>7</v>
      </c>
      <c r="K161" s="43">
        <v>5</v>
      </c>
      <c r="L161" s="43" t="e">
        <f>HLOOKUP($C161,$D$139:$G161,$B161+1,FALSE)</f>
        <v>#N/A</v>
      </c>
      <c r="M161" s="43" t="e">
        <f>HLOOKUP($C161,$H$139:$K161,$B161+1,FALSE)</f>
        <v>#N/A</v>
      </c>
      <c r="N161" s="35"/>
      <c r="O161" s="35"/>
      <c r="P161" s="35"/>
      <c r="Q161" s="35"/>
    </row>
    <row r="162" spans="2:17" ht="20.100000000000001" customHeight="1" x14ac:dyDescent="0.25">
      <c r="B162" s="43">
        <v>23</v>
      </c>
      <c r="C162" s="43"/>
      <c r="D162" s="43">
        <v>7</v>
      </c>
      <c r="E162" s="43">
        <v>1</v>
      </c>
      <c r="F162" s="43">
        <v>6</v>
      </c>
      <c r="G162" s="43">
        <v>3</v>
      </c>
      <c r="H162" s="43">
        <v>2</v>
      </c>
      <c r="I162" s="43">
        <v>1</v>
      </c>
      <c r="J162" s="43">
        <v>4</v>
      </c>
      <c r="K162" s="43">
        <v>9</v>
      </c>
      <c r="L162" s="43" t="e">
        <f>HLOOKUP($C162,$D$139:$G162,$B162+1,FALSE)</f>
        <v>#N/A</v>
      </c>
      <c r="M162" s="43" t="e">
        <f>HLOOKUP($C162,$H$139:$K162,$B162+1,FALSE)</f>
        <v>#N/A</v>
      </c>
      <c r="N162" s="35"/>
      <c r="O162" s="35"/>
      <c r="P162" s="35"/>
      <c r="Q162" s="35"/>
    </row>
    <row r="163" spans="2:17" ht="20.100000000000001" customHeight="1" x14ac:dyDescent="0.25">
      <c r="B163" s="43">
        <v>24</v>
      </c>
      <c r="C163" s="43"/>
      <c r="D163" s="43">
        <v>8</v>
      </c>
      <c r="E163" s="43">
        <v>7</v>
      </c>
      <c r="F163" s="43">
        <v>7</v>
      </c>
      <c r="G163" s="43">
        <v>5</v>
      </c>
      <c r="H163" s="43">
        <v>8</v>
      </c>
      <c r="I163" s="43">
        <v>9</v>
      </c>
      <c r="J163" s="43">
        <v>2</v>
      </c>
      <c r="K163" s="43">
        <v>5</v>
      </c>
      <c r="L163" s="43" t="e">
        <f>HLOOKUP($C163,$D$139:$G163,$B163+1,FALSE)</f>
        <v>#N/A</v>
      </c>
      <c r="M163" s="43" t="e">
        <f>HLOOKUP($C163,$H$139:$K163,$B163+1,FALSE)</f>
        <v>#N/A</v>
      </c>
      <c r="N163" s="35"/>
      <c r="O163" s="35"/>
      <c r="P163" s="35"/>
      <c r="Q163" s="35"/>
    </row>
    <row r="164" spans="2:17" ht="20.100000000000001" customHeight="1" x14ac:dyDescent="0.25">
      <c r="B164" s="43">
        <v>25</v>
      </c>
      <c r="C164" s="43"/>
      <c r="D164" s="43">
        <v>5</v>
      </c>
      <c r="E164" s="43">
        <v>4</v>
      </c>
      <c r="F164" s="43">
        <v>9</v>
      </c>
      <c r="G164" s="43">
        <v>0</v>
      </c>
      <c r="H164" s="43">
        <v>5</v>
      </c>
      <c r="I164" s="43">
        <v>7</v>
      </c>
      <c r="J164" s="43">
        <v>6</v>
      </c>
      <c r="K164" s="43">
        <v>5</v>
      </c>
      <c r="L164" s="43" t="e">
        <f>HLOOKUP($C164,$D$139:$G164,$B164+1,FALSE)</f>
        <v>#N/A</v>
      </c>
      <c r="M164" s="43" t="e">
        <f>HLOOKUP($C164,$H$139:$K164,$B164+1,FALSE)</f>
        <v>#N/A</v>
      </c>
      <c r="N164" s="35"/>
      <c r="O164" s="35"/>
      <c r="P164" s="35"/>
      <c r="Q164" s="35"/>
    </row>
    <row r="165" spans="2:17" ht="20.100000000000001" customHeight="1" x14ac:dyDescent="0.25">
      <c r="B165" s="43">
        <v>26</v>
      </c>
      <c r="C165" s="43"/>
      <c r="D165" s="43">
        <v>2</v>
      </c>
      <c r="E165" s="43">
        <v>7</v>
      </c>
      <c r="F165" s="43">
        <v>3</v>
      </c>
      <c r="G165" s="43">
        <v>4</v>
      </c>
      <c r="H165" s="43">
        <v>2</v>
      </c>
      <c r="I165" s="43">
        <v>7</v>
      </c>
      <c r="J165" s="43">
        <v>0</v>
      </c>
      <c r="K165" s="43">
        <v>2</v>
      </c>
      <c r="L165" s="43" t="e">
        <f>HLOOKUP($C165,$D$139:$G165,$B165+1,FALSE)</f>
        <v>#N/A</v>
      </c>
      <c r="M165" s="43" t="e">
        <f>HLOOKUP($C165,$H$139:$K165,$B165+1,FALSE)</f>
        <v>#N/A</v>
      </c>
      <c r="N165" s="35"/>
      <c r="O165" s="35"/>
      <c r="P165" s="35"/>
      <c r="Q165" s="35"/>
    </row>
    <row r="166" spans="2:17" ht="20.100000000000001" customHeight="1" x14ac:dyDescent="0.25">
      <c r="B166" s="43">
        <v>27</v>
      </c>
      <c r="C166" s="43"/>
      <c r="D166" s="43">
        <v>8</v>
      </c>
      <c r="E166" s="43">
        <v>1</v>
      </c>
      <c r="F166" s="43">
        <v>3</v>
      </c>
      <c r="G166" s="43">
        <v>0</v>
      </c>
      <c r="H166" s="43">
        <v>8</v>
      </c>
      <c r="I166" s="43">
        <v>4</v>
      </c>
      <c r="J166" s="43">
        <v>7</v>
      </c>
      <c r="K166" s="43">
        <v>8</v>
      </c>
      <c r="L166" s="43" t="e">
        <f>HLOOKUP($C166,$D$139:$G166,$B166+1,FALSE)</f>
        <v>#N/A</v>
      </c>
      <c r="M166" s="43" t="e">
        <f>HLOOKUP($C166,$H$139:$K166,$B166+1,FALSE)</f>
        <v>#N/A</v>
      </c>
      <c r="N166" s="35"/>
      <c r="O166" s="35"/>
      <c r="P166" s="35"/>
      <c r="Q166" s="35"/>
    </row>
    <row r="167" spans="2:17" ht="20.100000000000001" customHeight="1" x14ac:dyDescent="0.25">
      <c r="B167" s="43">
        <v>28</v>
      </c>
      <c r="C167" s="43"/>
      <c r="D167" s="43">
        <v>8</v>
      </c>
      <c r="E167" s="43">
        <v>2</v>
      </c>
      <c r="F167" s="43">
        <v>1</v>
      </c>
      <c r="G167" s="43">
        <v>1</v>
      </c>
      <c r="H167" s="43">
        <v>9</v>
      </c>
      <c r="I167" s="43">
        <v>8</v>
      </c>
      <c r="J167" s="43">
        <v>8</v>
      </c>
      <c r="K167" s="43">
        <v>4</v>
      </c>
      <c r="L167" s="43" t="e">
        <f>HLOOKUP($C167,$D$139:$G167,$B167+1,FALSE)</f>
        <v>#N/A</v>
      </c>
      <c r="M167" s="43" t="e">
        <f>HLOOKUP($C167,$H$139:$K167,$B167+1,FALSE)</f>
        <v>#N/A</v>
      </c>
      <c r="N167" s="35"/>
      <c r="O167" s="35"/>
      <c r="P167" s="35"/>
      <c r="Q167" s="35"/>
    </row>
    <row r="168" spans="2:17" ht="20.100000000000001" customHeight="1" x14ac:dyDescent="0.25">
      <c r="B168" s="43">
        <v>29</v>
      </c>
      <c r="C168" s="43"/>
      <c r="D168" s="43">
        <v>3</v>
      </c>
      <c r="E168" s="43">
        <v>1</v>
      </c>
      <c r="F168" s="43">
        <v>1</v>
      </c>
      <c r="G168" s="43">
        <v>10</v>
      </c>
      <c r="H168" s="43">
        <v>5</v>
      </c>
      <c r="I168" s="43">
        <v>3</v>
      </c>
      <c r="J168" s="43">
        <v>8</v>
      </c>
      <c r="K168" s="43">
        <v>5</v>
      </c>
      <c r="L168" s="43" t="e">
        <f>HLOOKUP($C168,$D$139:$G168,$B168+1,FALSE)</f>
        <v>#N/A</v>
      </c>
      <c r="M168" s="43" t="e">
        <f>HLOOKUP($C168,$H$139:$K168,$B168+1,FALSE)</f>
        <v>#N/A</v>
      </c>
      <c r="N168" s="35"/>
      <c r="O168" s="35"/>
      <c r="P168" s="35"/>
      <c r="Q168" s="35"/>
    </row>
    <row r="169" spans="2:17" ht="20.100000000000001" customHeight="1" x14ac:dyDescent="0.25">
      <c r="B169" s="43">
        <v>30</v>
      </c>
      <c r="C169" s="43"/>
      <c r="D169" s="43">
        <v>3</v>
      </c>
      <c r="E169" s="43">
        <v>4</v>
      </c>
      <c r="F169" s="43">
        <v>9</v>
      </c>
      <c r="G169" s="43">
        <v>0</v>
      </c>
      <c r="H169" s="43">
        <v>8</v>
      </c>
      <c r="I169" s="43">
        <v>3</v>
      </c>
      <c r="J169" s="43">
        <v>10</v>
      </c>
      <c r="K169" s="43">
        <v>9</v>
      </c>
      <c r="L169" s="43" t="e">
        <f>HLOOKUP($C169,$D$139:$G169,$B169+1,FALSE)</f>
        <v>#N/A</v>
      </c>
      <c r="M169" s="43" t="e">
        <f>HLOOKUP($C169,$H$139:$K169,$B169+1,FALSE)</f>
        <v>#N/A</v>
      </c>
      <c r="N169" s="35"/>
      <c r="O169" s="35"/>
      <c r="P169" s="35"/>
      <c r="Q169" s="35"/>
    </row>
    <row r="170" spans="2:17" ht="20.100000000000001" customHeight="1" x14ac:dyDescent="0.25">
      <c r="B170" s="43">
        <v>31</v>
      </c>
      <c r="C170" s="43"/>
      <c r="D170" s="43">
        <v>1</v>
      </c>
      <c r="E170" s="43">
        <v>0</v>
      </c>
      <c r="F170" s="43">
        <v>6</v>
      </c>
      <c r="G170" s="43">
        <v>2</v>
      </c>
      <c r="H170" s="43">
        <v>6</v>
      </c>
      <c r="I170" s="43">
        <v>6</v>
      </c>
      <c r="J170" s="43">
        <v>1</v>
      </c>
      <c r="K170" s="43">
        <v>1</v>
      </c>
      <c r="L170" s="43" t="e">
        <f>HLOOKUP($C170,$D$139:$G170,$B170+1,FALSE)</f>
        <v>#N/A</v>
      </c>
      <c r="M170" s="43" t="e">
        <f>HLOOKUP($C170,$H$139:$K170,$B170+1,FALSE)</f>
        <v>#N/A</v>
      </c>
      <c r="N170" s="35"/>
      <c r="O170" s="35"/>
      <c r="P170" s="35"/>
      <c r="Q170" s="35"/>
    </row>
    <row r="171" spans="2:17" ht="20.100000000000001" customHeight="1" x14ac:dyDescent="0.25">
      <c r="B171" s="43">
        <v>32</v>
      </c>
      <c r="C171" s="43"/>
      <c r="D171" s="43">
        <v>6</v>
      </c>
      <c r="E171" s="43">
        <v>1</v>
      </c>
      <c r="F171" s="43">
        <v>7</v>
      </c>
      <c r="G171" s="43">
        <v>6</v>
      </c>
      <c r="H171" s="43">
        <v>8</v>
      </c>
      <c r="I171" s="43">
        <v>6</v>
      </c>
      <c r="J171" s="43">
        <v>5</v>
      </c>
      <c r="K171" s="43">
        <v>9</v>
      </c>
      <c r="L171" s="43" t="e">
        <f>HLOOKUP($C171,$D$139:$G171,$B171+1,FALSE)</f>
        <v>#N/A</v>
      </c>
      <c r="M171" s="43" t="e">
        <f>HLOOKUP($C171,$H$139:$K171,$B171+1,FALSE)</f>
        <v>#N/A</v>
      </c>
      <c r="N171" s="35"/>
      <c r="O171" s="35"/>
      <c r="P171" s="35"/>
      <c r="Q171" s="35"/>
    </row>
    <row r="172" spans="2:17" ht="20.100000000000001" customHeight="1" x14ac:dyDescent="0.25">
      <c r="B172" s="43">
        <v>33</v>
      </c>
      <c r="C172" s="43"/>
      <c r="D172" s="43">
        <v>1</v>
      </c>
      <c r="E172" s="43">
        <v>8</v>
      </c>
      <c r="F172" s="43">
        <v>0</v>
      </c>
      <c r="G172" s="43">
        <v>1</v>
      </c>
      <c r="H172" s="43">
        <v>1</v>
      </c>
      <c r="I172" s="43">
        <v>1</v>
      </c>
      <c r="J172" s="43">
        <v>9</v>
      </c>
      <c r="K172" s="43">
        <v>5</v>
      </c>
      <c r="L172" s="43" t="e">
        <f>HLOOKUP($C172,$D$139:$G172,$B172+1,FALSE)</f>
        <v>#N/A</v>
      </c>
      <c r="M172" s="43" t="e">
        <f>HLOOKUP($C172,$H$139:$K172,$B172+1,FALSE)</f>
        <v>#N/A</v>
      </c>
      <c r="N172" s="35"/>
      <c r="O172" s="35"/>
      <c r="P172" s="35"/>
      <c r="Q172" s="35"/>
    </row>
    <row r="173" spans="2:17" ht="20.100000000000001" customHeight="1" x14ac:dyDescent="0.25">
      <c r="B173" s="43">
        <v>34</v>
      </c>
      <c r="C173" s="43"/>
      <c r="D173" s="43">
        <v>6</v>
      </c>
      <c r="E173" s="43">
        <v>7</v>
      </c>
      <c r="F173" s="43">
        <v>2</v>
      </c>
      <c r="G173" s="43">
        <v>6</v>
      </c>
      <c r="H173" s="43">
        <v>9</v>
      </c>
      <c r="I173" s="43">
        <v>8</v>
      </c>
      <c r="J173" s="43">
        <v>6</v>
      </c>
      <c r="K173" s="43">
        <v>1</v>
      </c>
      <c r="L173" s="43" t="e">
        <f>HLOOKUP($C173,$D$139:$G173,$B173+1,FALSE)</f>
        <v>#N/A</v>
      </c>
      <c r="M173" s="43" t="e">
        <f>HLOOKUP($C173,$H$139:$K173,$B173+1,FALSE)</f>
        <v>#N/A</v>
      </c>
      <c r="N173" s="35"/>
      <c r="O173" s="35"/>
      <c r="P173" s="35"/>
      <c r="Q173" s="35"/>
    </row>
    <row r="174" spans="2:17" ht="20.100000000000001" customHeight="1" x14ac:dyDescent="0.25">
      <c r="B174" s="43">
        <v>35</v>
      </c>
      <c r="C174" s="43"/>
      <c r="D174" s="43">
        <v>6</v>
      </c>
      <c r="E174" s="43">
        <v>7</v>
      </c>
      <c r="F174" s="43">
        <v>3</v>
      </c>
      <c r="G174" s="43">
        <v>1</v>
      </c>
      <c r="H174" s="43">
        <v>5</v>
      </c>
      <c r="I174" s="43">
        <v>7</v>
      </c>
      <c r="J174" s="43">
        <v>4</v>
      </c>
      <c r="K174" s="43">
        <v>5</v>
      </c>
      <c r="L174" s="43" t="e">
        <f>HLOOKUP($C174,$D$139:$G174,$B174+1,FALSE)</f>
        <v>#N/A</v>
      </c>
      <c r="M174" s="43" t="e">
        <f>HLOOKUP($C174,$H$139:$K174,$B174+1,FALSE)</f>
        <v>#N/A</v>
      </c>
      <c r="N174" s="35"/>
      <c r="O174" s="35"/>
      <c r="P174" s="35"/>
      <c r="Q174" s="35"/>
    </row>
    <row r="175" spans="2:17" ht="20.100000000000001" customHeight="1" x14ac:dyDescent="0.25">
      <c r="B175" s="43">
        <v>36</v>
      </c>
      <c r="C175" s="43"/>
      <c r="D175" s="43">
        <v>1</v>
      </c>
      <c r="E175" s="43">
        <v>1</v>
      </c>
      <c r="F175" s="43">
        <v>4</v>
      </c>
      <c r="G175" s="43">
        <v>2</v>
      </c>
      <c r="H175" s="43">
        <v>5</v>
      </c>
      <c r="I175" s="43">
        <v>7</v>
      </c>
      <c r="J175" s="43">
        <v>5</v>
      </c>
      <c r="K175" s="43">
        <v>10</v>
      </c>
      <c r="L175" s="43" t="e">
        <f>HLOOKUP($C175,$D$139:$G175,$B175+1,FALSE)</f>
        <v>#N/A</v>
      </c>
      <c r="M175" s="43" t="e">
        <f>HLOOKUP($C175,$H$139:$K175,$B175+1,FALSE)</f>
        <v>#N/A</v>
      </c>
      <c r="N175" s="35"/>
      <c r="O175" s="35"/>
      <c r="P175" s="35"/>
      <c r="Q175" s="35"/>
    </row>
    <row r="176" spans="2:17" ht="20.100000000000001" customHeight="1" x14ac:dyDescent="0.25">
      <c r="B176" s="43">
        <v>37</v>
      </c>
      <c r="C176" s="43"/>
      <c r="D176" s="43">
        <v>6</v>
      </c>
      <c r="E176" s="43">
        <v>4</v>
      </c>
      <c r="F176" s="43">
        <v>6</v>
      </c>
      <c r="G176" s="43">
        <v>9</v>
      </c>
      <c r="H176" s="43">
        <v>10</v>
      </c>
      <c r="I176" s="43">
        <v>4</v>
      </c>
      <c r="J176" s="43">
        <v>9</v>
      </c>
      <c r="K176" s="43">
        <v>8</v>
      </c>
      <c r="L176" s="43" t="e">
        <f>HLOOKUP($C176,$D$139:$G176,$B176+1,FALSE)</f>
        <v>#N/A</v>
      </c>
      <c r="M176" s="43" t="e">
        <f>HLOOKUP($C176,$H$139:$K176,$B176+1,FALSE)</f>
        <v>#N/A</v>
      </c>
      <c r="N176" s="35"/>
      <c r="O176" s="35"/>
      <c r="P176" s="35"/>
      <c r="Q176" s="35"/>
    </row>
    <row r="177" spans="2:17" ht="20.100000000000001" customHeight="1" x14ac:dyDescent="0.25">
      <c r="B177" s="43">
        <v>38</v>
      </c>
      <c r="C177" s="43"/>
      <c r="D177" s="43">
        <v>5</v>
      </c>
      <c r="E177" s="43">
        <v>6</v>
      </c>
      <c r="F177" s="43">
        <v>3</v>
      </c>
      <c r="G177" s="43">
        <v>10</v>
      </c>
      <c r="H177" s="43">
        <v>4</v>
      </c>
      <c r="I177" s="43">
        <v>5</v>
      </c>
      <c r="J177" s="43">
        <v>4</v>
      </c>
      <c r="K177" s="43">
        <v>8</v>
      </c>
      <c r="L177" s="43" t="e">
        <f>HLOOKUP($C177,$D$139:$G177,$B177+1,FALSE)</f>
        <v>#N/A</v>
      </c>
      <c r="M177" s="43" t="e">
        <f>HLOOKUP($C177,$H$139:$K177,$B177+1,FALSE)</f>
        <v>#N/A</v>
      </c>
      <c r="N177" s="35"/>
      <c r="O177" s="35"/>
      <c r="P177" s="35"/>
      <c r="Q177" s="35"/>
    </row>
    <row r="178" spans="2:17" ht="20.100000000000001" customHeight="1" x14ac:dyDescent="0.25">
      <c r="B178" s="43">
        <v>39</v>
      </c>
      <c r="C178" s="43"/>
      <c r="D178" s="43">
        <v>5</v>
      </c>
      <c r="E178" s="43">
        <v>4</v>
      </c>
      <c r="F178" s="43">
        <v>4</v>
      </c>
      <c r="G178" s="43">
        <v>5</v>
      </c>
      <c r="H178" s="43">
        <v>8</v>
      </c>
      <c r="I178" s="43">
        <v>0</v>
      </c>
      <c r="J178" s="43">
        <v>7</v>
      </c>
      <c r="K178" s="43">
        <v>8</v>
      </c>
      <c r="L178" s="43" t="e">
        <f>HLOOKUP($C178,$D$139:$G178,$B178+1,FALSE)</f>
        <v>#N/A</v>
      </c>
      <c r="M178" s="43" t="e">
        <f>HLOOKUP($C178,$H$139:$K178,$B178+1,FALSE)</f>
        <v>#N/A</v>
      </c>
      <c r="N178" s="35"/>
      <c r="O178" s="35"/>
      <c r="P178" s="35"/>
      <c r="Q178" s="35"/>
    </row>
    <row r="179" spans="2:17" ht="20.100000000000001" customHeight="1" x14ac:dyDescent="0.25">
      <c r="B179" s="43">
        <v>40</v>
      </c>
      <c r="C179" s="43"/>
      <c r="D179" s="43">
        <v>8</v>
      </c>
      <c r="E179" s="43">
        <v>9</v>
      </c>
      <c r="F179" s="43">
        <v>8</v>
      </c>
      <c r="G179" s="43">
        <v>0</v>
      </c>
      <c r="H179" s="43">
        <v>7</v>
      </c>
      <c r="I179" s="43">
        <v>1</v>
      </c>
      <c r="J179" s="43">
        <v>4</v>
      </c>
      <c r="K179" s="43">
        <v>8</v>
      </c>
      <c r="L179" s="43" t="e">
        <f>HLOOKUP($C179,$D$139:$G179,$B179+1,FALSE)</f>
        <v>#N/A</v>
      </c>
      <c r="M179" s="43" t="e">
        <f>HLOOKUP($C179,$H$139:$K179,$B179+1,FALSE)</f>
        <v>#N/A</v>
      </c>
      <c r="N179" s="35"/>
      <c r="O179" s="35"/>
      <c r="P179" s="35"/>
      <c r="Q179" s="35"/>
    </row>
  </sheetData>
  <mergeCells count="14">
    <mergeCell ref="B41:B43"/>
    <mergeCell ref="B69:G69"/>
    <mergeCell ref="H69:J69"/>
    <mergeCell ref="B2:G2"/>
    <mergeCell ref="B13:B14"/>
    <mergeCell ref="C13:C14"/>
    <mergeCell ref="D13:F13"/>
    <mergeCell ref="G13:G14"/>
    <mergeCell ref="B23:G23"/>
    <mergeCell ref="D138:G138"/>
    <mergeCell ref="H138:K138"/>
    <mergeCell ref="I37:J37"/>
    <mergeCell ref="I38:J38"/>
    <mergeCell ref="I39:J39"/>
  </mergeCells>
  <pageMargins left="0.7" right="0.7" top="0.75" bottom="0.75" header="0.3" footer="0.3"/>
  <pageSetup orientation="portrait" r:id="rId1"/>
  <ignoredErrors>
    <ignoredError sqref="G15:G20"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A4057-598E-4799-AFDA-65C557966DE8}">
  <dimension ref="B2:C72"/>
  <sheetViews>
    <sheetView showGridLines="0" zoomScaleNormal="100" workbookViewId="0">
      <selection activeCell="L6" sqref="L6"/>
    </sheetView>
  </sheetViews>
  <sheetFormatPr defaultRowHeight="20.100000000000001" customHeight="1" x14ac:dyDescent="0.25"/>
  <cols>
    <col min="1" max="1" width="4.7109375" style="1" customWidth="1"/>
    <col min="2" max="2" width="25.140625" style="1" customWidth="1"/>
    <col min="3" max="3" width="15.7109375" style="1" customWidth="1"/>
    <col min="4" max="16384" width="9.140625" style="1"/>
  </cols>
  <sheetData>
    <row r="2" spans="2:3" ht="20.100000000000001" customHeight="1" thickBot="1" x14ac:dyDescent="0.3">
      <c r="B2" s="82" t="s">
        <v>142</v>
      </c>
      <c r="C2" s="82"/>
    </row>
    <row r="3" spans="2:3" ht="20.100000000000001" customHeight="1" thickTop="1" x14ac:dyDescent="0.25"/>
    <row r="4" spans="2:3" ht="20.100000000000001" customHeight="1" x14ac:dyDescent="0.25">
      <c r="B4" s="37" t="s">
        <v>140</v>
      </c>
    </row>
    <row r="5" spans="2:3" ht="20.100000000000001" customHeight="1" x14ac:dyDescent="0.25">
      <c r="B5" s="1">
        <f>MIN($G$27)</f>
        <v>0</v>
      </c>
    </row>
    <row r="6" spans="2:3" ht="20.100000000000001" customHeight="1" x14ac:dyDescent="0.25">
      <c r="B6" s="1">
        <f>COUNT($D$15:$F$20)</f>
        <v>0</v>
      </c>
    </row>
    <row r="7" spans="2:3" ht="20.100000000000001" customHeight="1" x14ac:dyDescent="0.25">
      <c r="B7" s="1" t="b">
        <f t="array" ref="B7">$C$15:$C$20=$G$15:$G$20</f>
        <v>1</v>
      </c>
    </row>
    <row r="8" spans="2:3" ht="20.100000000000001" customHeight="1" x14ac:dyDescent="0.25">
      <c r="B8" s="1" t="b">
        <f t="array" ref="B8">$D$25:$F$25&gt;=0</f>
        <v>1</v>
      </c>
    </row>
    <row r="9" spans="2:3" ht="20.100000000000001" customHeight="1" x14ac:dyDescent="0.25">
      <c r="B9" s="1">
        <f>{32767,32767,0.000001,0.01,TRUE,FALSE,TRUE,1,1,1,0.0001,TRUE}</f>
        <v>32767</v>
      </c>
    </row>
    <row r="10" spans="2:3" ht="20.100000000000001" customHeight="1" x14ac:dyDescent="0.25">
      <c r="B10" s="1">
        <f>{0,0,2,100,0,FALSE,TRUE,0.075,0,0,FALSE,30}</f>
        <v>0</v>
      </c>
    </row>
    <row r="11" spans="2:3" ht="20.100000000000001" customHeight="1" x14ac:dyDescent="0.25">
      <c r="B11" s="37" t="s">
        <v>141</v>
      </c>
    </row>
    <row r="12" spans="2:3" ht="20.100000000000001" customHeight="1" x14ac:dyDescent="0.25">
      <c r="B12" s="38">
        <f>MIN($I$38)</f>
        <v>0</v>
      </c>
    </row>
    <row r="13" spans="2:3" ht="20.100000000000001" customHeight="1" x14ac:dyDescent="0.25">
      <c r="B13" s="1">
        <f>COUNT($C$32:$E$34)</f>
        <v>0</v>
      </c>
    </row>
    <row r="14" spans="2:3" ht="20.100000000000001" customHeight="1" x14ac:dyDescent="0.25">
      <c r="B14" s="1" t="b">
        <f t="array" ref="B14">$C$35:$E$35&gt;=$C$37:$E$37</f>
        <v>1</v>
      </c>
    </row>
    <row r="15" spans="2:3" ht="20.100000000000001" customHeight="1" x14ac:dyDescent="0.25">
      <c r="B15" s="1" t="b">
        <f t="array" ref="B15">$C$41:$E$41&gt;=$C$43:$E$43</f>
        <v>1</v>
      </c>
    </row>
    <row r="16" spans="2:3" ht="20.100000000000001" customHeight="1" x14ac:dyDescent="0.25">
      <c r="B16" s="1" t="b">
        <f t="array" ref="B16">$F$32:$F$34&lt;=$H$32:$H$34</f>
        <v>1</v>
      </c>
    </row>
    <row r="17" spans="2:2" ht="20.100000000000001" customHeight="1" x14ac:dyDescent="0.25">
      <c r="B17" s="1">
        <f>{32767,32767,0.000001,0.01,TRUE,FALSE,TRUE,1,1,1,0.0001,TRUE}</f>
        <v>32767</v>
      </c>
    </row>
    <row r="18" spans="2:2" ht="20.100000000000001" customHeight="1" x14ac:dyDescent="0.25">
      <c r="B18" s="1">
        <f>{0,0,2,100,0,FALSE,TRUE,0.075,0,0,FALSE,30}</f>
        <v>0</v>
      </c>
    </row>
    <row r="19" spans="2:2" ht="20.100000000000001" customHeight="1" x14ac:dyDescent="0.25">
      <c r="B19" s="37" t="s">
        <v>82</v>
      </c>
    </row>
    <row r="20" spans="2:2" ht="20.100000000000001" customHeight="1" x14ac:dyDescent="0.25">
      <c r="B20" s="1">
        <f>MAX($E$65)</f>
        <v>0</v>
      </c>
    </row>
    <row r="21" spans="2:2" ht="20.100000000000001" customHeight="1" x14ac:dyDescent="0.25">
      <c r="B21" s="1">
        <f>COUNT($C$48:$C$64)</f>
        <v>0</v>
      </c>
    </row>
    <row r="22" spans="2:2" ht="20.100000000000001" customHeight="1" x14ac:dyDescent="0.25">
      <c r="B22" s="1" t="b">
        <f>$C$48&gt;=50</f>
        <v>0</v>
      </c>
    </row>
    <row r="23" spans="2:2" ht="20.100000000000001" customHeight="1" x14ac:dyDescent="0.25">
      <c r="B23" s="1" t="b">
        <f>$C$49&gt;=40</f>
        <v>0</v>
      </c>
    </row>
    <row r="24" spans="2:2" ht="20.100000000000001" customHeight="1" x14ac:dyDescent="0.25">
      <c r="B24" s="1" t="b">
        <f>$C$50&lt;=40</f>
        <v>1</v>
      </c>
    </row>
    <row r="25" spans="2:2" ht="20.100000000000001" customHeight="1" x14ac:dyDescent="0.25">
      <c r="B25" s="1" t="b">
        <f t="array" ref="B25">$C$51:$C$64&gt;=15</f>
        <v>0</v>
      </c>
    </row>
    <row r="26" spans="2:2" ht="20.100000000000001" customHeight="1" x14ac:dyDescent="0.25">
      <c r="B26" s="1" t="b">
        <f>$C$65=400</f>
        <v>0</v>
      </c>
    </row>
    <row r="27" spans="2:2" ht="20.100000000000001" customHeight="1" x14ac:dyDescent="0.25">
      <c r="B27" s="1">
        <f>{32767,32767,0.000001,0.01,TRUE,FALSE,FALSE,1,2,1,0.0001,TRUE}</f>
        <v>32767</v>
      </c>
    </row>
    <row r="28" spans="2:2" ht="20.100000000000001" customHeight="1" x14ac:dyDescent="0.25">
      <c r="B28" s="1">
        <f>{0,0,2,100,0,FALSE,FALSE,0.075,0,0,FALSE,30}</f>
        <v>0</v>
      </c>
    </row>
    <row r="29" spans="2:2" ht="20.100000000000001" customHeight="1" x14ac:dyDescent="0.25">
      <c r="B29" s="37" t="s">
        <v>83</v>
      </c>
    </row>
    <row r="30" spans="2:2" ht="20.100000000000001" customHeight="1" x14ac:dyDescent="0.25">
      <c r="B30" s="1">
        <f>MAX($J$83)</f>
        <v>0</v>
      </c>
    </row>
    <row r="31" spans="2:2" ht="20.100000000000001" customHeight="1" x14ac:dyDescent="0.25">
      <c r="B31" s="1">
        <f>COUNT($H$71:$H$82)</f>
        <v>0</v>
      </c>
    </row>
    <row r="32" spans="2:2" ht="20.100000000000001" customHeight="1" x14ac:dyDescent="0.25">
      <c r="B32" s="1" t="b">
        <f t="array" ref="B32">$H$71:$H$82&gt;=60000</f>
        <v>0</v>
      </c>
    </row>
    <row r="33" spans="2:2" ht="20.100000000000001" customHeight="1" x14ac:dyDescent="0.25">
      <c r="B33" s="1" t="b">
        <f>$H$83=$E$83</f>
        <v>1</v>
      </c>
    </row>
    <row r="34" spans="2:2" ht="20.100000000000001" customHeight="1" x14ac:dyDescent="0.25">
      <c r="B34" s="1">
        <f>{32767,32767,0.000001,0.01,FALSE,FALSE,TRUE,1,1,1,0.0001,TRUE}</f>
        <v>32767</v>
      </c>
    </row>
    <row r="35" spans="2:2" ht="20.100000000000001" customHeight="1" x14ac:dyDescent="0.25">
      <c r="B35" s="1">
        <f>{0,0,1,100,0,FALSE,TRUE,0.075,0,0,FALSE,30}</f>
        <v>0</v>
      </c>
    </row>
    <row r="37" spans="2:2" ht="20.100000000000001" customHeight="1" x14ac:dyDescent="0.25">
      <c r="B37" s="37" t="s">
        <v>96</v>
      </c>
    </row>
    <row r="38" spans="2:2" ht="20.100000000000001" customHeight="1" x14ac:dyDescent="0.25">
      <c r="B38" s="1">
        <f>MIN($C$100)</f>
        <v>0</v>
      </c>
    </row>
    <row r="39" spans="2:2" ht="20.100000000000001" customHeight="1" x14ac:dyDescent="0.25">
      <c r="B39" s="1">
        <f>COUNT($B$88:$B$94)</f>
        <v>0</v>
      </c>
    </row>
    <row r="40" spans="2:2" ht="20.100000000000001" customHeight="1" x14ac:dyDescent="0.25">
      <c r="B40" s="1" t="b">
        <f t="array" ref="B40">$B$88:$B$94=INT($B$88:$B$94)</f>
        <v>1</v>
      </c>
    </row>
    <row r="41" spans="2:2" ht="20.100000000000001" customHeight="1" x14ac:dyDescent="0.25">
      <c r="B41" s="1" t="b">
        <f t="array" ref="B41">$D$96:$J$96&gt;=$D$98:$J$98</f>
        <v>1</v>
      </c>
    </row>
    <row r="42" spans="2:2" ht="20.100000000000001" customHeight="1" x14ac:dyDescent="0.25">
      <c r="B42" s="1">
        <f>{32767,32767,0.000001,0.01,TRUE,FALSE,TRUE,1,1,1,0.0001,TRUE}</f>
        <v>32767</v>
      </c>
    </row>
    <row r="43" spans="2:2" ht="20.100000000000001" customHeight="1" x14ac:dyDescent="0.25">
      <c r="B43" s="1">
        <f>{0,0,2,100,0,FALSE,TRUE,0.075,0,0,FALSE,30}</f>
        <v>0</v>
      </c>
    </row>
    <row r="44" spans="2:2" ht="20.100000000000001" customHeight="1" x14ac:dyDescent="0.25">
      <c r="B44" s="37" t="s">
        <v>114</v>
      </c>
    </row>
    <row r="45" spans="2:2" ht="20.100000000000001" customHeight="1" x14ac:dyDescent="0.25">
      <c r="B45" s="1">
        <f>MAX($C$104)</f>
        <v>0</v>
      </c>
    </row>
    <row r="46" spans="2:2" ht="20.100000000000001" customHeight="1" x14ac:dyDescent="0.25">
      <c r="B46" s="1">
        <f>COUNT($B$107:$B$115)</f>
        <v>0</v>
      </c>
    </row>
    <row r="47" spans="2:2" ht="20.100000000000001" customHeight="1" x14ac:dyDescent="0.25">
      <c r="B47" s="1" t="b">
        <f t="array" ref="B47">($B$107:$B$115=0)+($B$107:$B$115=1)=1</f>
        <v>1</v>
      </c>
    </row>
    <row r="48" spans="2:2" ht="20.100000000000001" customHeight="1" x14ac:dyDescent="0.25">
      <c r="B48" s="1" t="b">
        <f t="array" ref="B48">$C$117:$D$117&lt;=$C$118:$D$118</f>
        <v>1</v>
      </c>
    </row>
    <row r="49" spans="2:2" ht="20.100000000000001" customHeight="1" x14ac:dyDescent="0.25">
      <c r="B49" s="1">
        <f>{32767,32767,0.000001,0.01,TRUE,FALSE,TRUE,1,1,1,0.0001,TRUE}</f>
        <v>32767</v>
      </c>
    </row>
    <row r="50" spans="2:2" ht="20.100000000000001" customHeight="1" x14ac:dyDescent="0.25">
      <c r="B50" s="1">
        <f>{0,0,2,100,0,FALSE,TRUE,0.075,0,0,FALSE,30}</f>
        <v>0</v>
      </c>
    </row>
    <row r="53" spans="2:2" ht="20.100000000000001" customHeight="1" x14ac:dyDescent="0.25">
      <c r="B53" s="37" t="s">
        <v>138</v>
      </c>
    </row>
    <row r="54" spans="2:2" ht="20.100000000000001" customHeight="1" x14ac:dyDescent="0.25">
      <c r="B54" s="1">
        <f>MAX($C$132)</f>
        <v>0</v>
      </c>
    </row>
    <row r="55" spans="2:2" ht="20.100000000000001" customHeight="1" x14ac:dyDescent="0.25">
      <c r="B55" s="1">
        <f>COUNT($D$125:$D$129)</f>
        <v>0</v>
      </c>
    </row>
    <row r="56" spans="2:2" ht="20.100000000000001" customHeight="1" x14ac:dyDescent="0.25">
      <c r="B56" s="1" t="b">
        <f>$D$125&gt;=$D$126*0.3</f>
        <v>1</v>
      </c>
    </row>
    <row r="57" spans="2:2" ht="20.100000000000001" customHeight="1" x14ac:dyDescent="0.25">
      <c r="B57" s="1" t="b">
        <f>$D$130=$C$122</f>
        <v>1</v>
      </c>
    </row>
    <row r="58" spans="2:2" ht="20.100000000000001" customHeight="1" x14ac:dyDescent="0.25">
      <c r="B58" s="1" t="b">
        <f>$F$128&lt;=0.25</f>
        <v>1</v>
      </c>
    </row>
    <row r="59" spans="2:2" ht="20.100000000000001" customHeight="1" x14ac:dyDescent="0.25">
      <c r="B59" s="1" t="b">
        <f>$F$129&gt;=0.1</f>
        <v>0</v>
      </c>
    </row>
    <row r="60" spans="2:2" ht="20.100000000000001" customHeight="1" x14ac:dyDescent="0.25">
      <c r="B60" s="1" t="b">
        <f>$F$132&gt;=0.15</f>
        <v>0</v>
      </c>
    </row>
    <row r="61" spans="2:2" ht="20.100000000000001" customHeight="1" x14ac:dyDescent="0.25">
      <c r="B61" s="1">
        <f>{32767,32767,0.000001,0.01,FALSE,FALSE,TRUE,1,1,1,0.0001,TRUE}</f>
        <v>32767</v>
      </c>
    </row>
    <row r="62" spans="2:2" ht="20.100000000000001" customHeight="1" x14ac:dyDescent="0.25">
      <c r="B62" s="1">
        <f>{0,0,1,100,0,FALSE,TRUE,0.075,0,0,FALSE,30}</f>
        <v>0</v>
      </c>
    </row>
    <row r="64" spans="2:2" ht="20.100000000000001" customHeight="1" x14ac:dyDescent="0.25">
      <c r="B64" s="37" t="s">
        <v>137</v>
      </c>
    </row>
    <row r="65" spans="2:2" ht="20.100000000000001" customHeight="1" x14ac:dyDescent="0.25">
      <c r="B65" s="1">
        <f>MAX($P$146)</f>
        <v>0</v>
      </c>
    </row>
    <row r="66" spans="2:2" ht="20.100000000000001" customHeight="1" x14ac:dyDescent="0.25">
      <c r="B66" s="1">
        <f>COUNT($C$140:$C$179)</f>
        <v>0</v>
      </c>
    </row>
    <row r="67" spans="2:2" ht="20.100000000000001" customHeight="1" x14ac:dyDescent="0.25">
      <c r="B67" s="1" t="b">
        <f t="array" ref="B67">$C$140:$C$179&lt;=4</f>
        <v>1</v>
      </c>
    </row>
    <row r="68" spans="2:2" ht="20.100000000000001" customHeight="1" x14ac:dyDescent="0.25">
      <c r="B68" s="1" t="b">
        <f t="array" ref="B68">$C$140:$C$179=INT($C$140:$C$179)</f>
        <v>1</v>
      </c>
    </row>
    <row r="69" spans="2:2" ht="20.100000000000001" customHeight="1" x14ac:dyDescent="0.25">
      <c r="B69" s="1" t="b">
        <f t="array" ref="B69">$C$140:$C$179&gt;=1</f>
        <v>0</v>
      </c>
    </row>
    <row r="70" spans="2:2" ht="20.100000000000001" customHeight="1" x14ac:dyDescent="0.25">
      <c r="B70" s="1" t="b">
        <f t="array" ref="B70">$Q$141:$Q$144=0</f>
        <v>1</v>
      </c>
    </row>
    <row r="71" spans="2:2" ht="20.100000000000001" customHeight="1" x14ac:dyDescent="0.25">
      <c r="B71" s="1">
        <f>{32767,32767,0.000001,0.01,FALSE,FALSE,TRUE,1,1,1,0.0001,TRUE}</f>
        <v>32767</v>
      </c>
    </row>
    <row r="72" spans="2:2" ht="20.100000000000001" customHeight="1" x14ac:dyDescent="0.25">
      <c r="B72" s="1">
        <f>{0,0,3,100,0,FALSE,TRUE,0.075,0,0,FALSE,30}</f>
        <v>0</v>
      </c>
    </row>
  </sheetData>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376A6-1947-45CB-9C72-F247552FBE15}">
  <dimension ref="B2:Q179"/>
  <sheetViews>
    <sheetView showGridLines="0" workbookViewId="0">
      <selection activeCell="L36" sqref="L36"/>
    </sheetView>
  </sheetViews>
  <sheetFormatPr defaultRowHeight="20.100000000000001" customHeight="1" x14ac:dyDescent="0.25"/>
  <cols>
    <col min="1" max="1" width="3.7109375" style="39" customWidth="1"/>
    <col min="2" max="2" width="27.85546875" style="39" customWidth="1"/>
    <col min="3" max="3" width="17.5703125" style="39" customWidth="1"/>
    <col min="4" max="4" width="18.140625" style="39" bestFit="1" customWidth="1"/>
    <col min="5" max="5" width="16.85546875" style="39" bestFit="1" customWidth="1"/>
    <col min="6" max="6" width="17.140625" style="39" bestFit="1" customWidth="1"/>
    <col min="7" max="7" width="12.28515625" style="39" customWidth="1"/>
    <col min="8" max="8" width="22.140625" style="39" bestFit="1" customWidth="1"/>
    <col min="9" max="9" width="15" style="39" bestFit="1" customWidth="1"/>
    <col min="10" max="10" width="14.140625" style="39" bestFit="1" customWidth="1"/>
    <col min="11" max="11" width="9.140625" style="39"/>
    <col min="12" max="12" width="13.7109375" style="39" bestFit="1" customWidth="1"/>
    <col min="13" max="13" width="12.42578125" style="39" bestFit="1" customWidth="1"/>
    <col min="14" max="14" width="13.7109375" style="39" bestFit="1" customWidth="1"/>
    <col min="15" max="15" width="18.28515625" style="39" bestFit="1" customWidth="1"/>
    <col min="16" max="16" width="9.5703125" style="39" bestFit="1" customWidth="1"/>
    <col min="17" max="16384" width="9.140625" style="39"/>
  </cols>
  <sheetData>
    <row r="2" spans="2:10" ht="20.100000000000001" customHeight="1" thickBot="1" x14ac:dyDescent="0.3">
      <c r="B2" s="78" t="s">
        <v>0</v>
      </c>
      <c r="C2" s="78"/>
      <c r="D2" s="78"/>
      <c r="E2" s="78"/>
      <c r="F2" s="78"/>
      <c r="G2" s="78"/>
    </row>
    <row r="3" spans="2:10" ht="20.100000000000001" customHeight="1" thickTop="1" x14ac:dyDescent="0.25"/>
    <row r="4" spans="2:10" ht="20.100000000000001" customHeight="1" x14ac:dyDescent="0.25">
      <c r="B4" s="5" t="s">
        <v>20</v>
      </c>
      <c r="J4" s="40"/>
    </row>
    <row r="5" spans="2:10" ht="20.100000000000001" customHeight="1" x14ac:dyDescent="0.25">
      <c r="B5" s="13" t="s">
        <v>1</v>
      </c>
      <c r="C5" s="14" t="s">
        <v>2</v>
      </c>
      <c r="D5" s="14" t="s">
        <v>3</v>
      </c>
      <c r="E5" s="14" t="s">
        <v>4</v>
      </c>
      <c r="F5" s="38"/>
      <c r="G5" s="38"/>
    </row>
    <row r="6" spans="2:10" ht="20.100000000000001" customHeight="1" x14ac:dyDescent="0.25">
      <c r="B6" s="6" t="s">
        <v>5</v>
      </c>
      <c r="C6" s="8">
        <v>58</v>
      </c>
      <c r="D6" s="8">
        <v>47</v>
      </c>
      <c r="E6" s="8">
        <v>108</v>
      </c>
      <c r="F6" s="38"/>
      <c r="G6" s="38"/>
    </row>
    <row r="7" spans="2:10" ht="20.100000000000001" customHeight="1" x14ac:dyDescent="0.25">
      <c r="B7" s="6" t="s">
        <v>6</v>
      </c>
      <c r="C7" s="8">
        <v>87</v>
      </c>
      <c r="D7" s="8">
        <v>46</v>
      </c>
      <c r="E7" s="8">
        <v>100</v>
      </c>
      <c r="F7" s="38"/>
      <c r="G7" s="38"/>
    </row>
    <row r="8" spans="2:10" ht="20.100000000000001" customHeight="1" x14ac:dyDescent="0.25">
      <c r="B8" s="6" t="s">
        <v>7</v>
      </c>
      <c r="C8" s="8">
        <v>121</v>
      </c>
      <c r="D8" s="8">
        <v>30</v>
      </c>
      <c r="E8" s="8">
        <v>57</v>
      </c>
      <c r="F8" s="38"/>
      <c r="G8" s="38"/>
    </row>
    <row r="9" spans="2:10" ht="20.100000000000001" customHeight="1" x14ac:dyDescent="0.25">
      <c r="B9" s="6" t="s">
        <v>8</v>
      </c>
      <c r="C9" s="8">
        <v>149</v>
      </c>
      <c r="D9" s="8">
        <v>66</v>
      </c>
      <c r="E9" s="8">
        <v>83</v>
      </c>
      <c r="F9" s="38"/>
      <c r="G9" s="38"/>
    </row>
    <row r="10" spans="2:10" ht="20.100000000000001" customHeight="1" x14ac:dyDescent="0.25">
      <c r="B10" s="6" t="s">
        <v>9</v>
      </c>
      <c r="C10" s="8">
        <v>62</v>
      </c>
      <c r="D10" s="8">
        <v>115</v>
      </c>
      <c r="E10" s="8">
        <v>164</v>
      </c>
      <c r="F10" s="38"/>
      <c r="G10" s="38"/>
    </row>
    <row r="11" spans="2:10" ht="20.100000000000001" customHeight="1" x14ac:dyDescent="0.25">
      <c r="B11" s="6" t="s">
        <v>10</v>
      </c>
      <c r="C11" s="8">
        <v>128</v>
      </c>
      <c r="D11" s="8">
        <v>28</v>
      </c>
      <c r="E11" s="8">
        <v>38</v>
      </c>
      <c r="F11" s="38"/>
      <c r="G11" s="38"/>
    </row>
    <row r="12" spans="2:10" ht="20.100000000000001" customHeight="1" x14ac:dyDescent="0.25">
      <c r="B12" s="38"/>
      <c r="C12" s="38"/>
      <c r="D12" s="38"/>
      <c r="E12" s="38"/>
      <c r="F12" s="38"/>
      <c r="G12" s="38"/>
    </row>
    <row r="13" spans="2:10" ht="20.100000000000001" customHeight="1" x14ac:dyDescent="0.25">
      <c r="B13" s="79" t="s">
        <v>11</v>
      </c>
      <c r="C13" s="80" t="s">
        <v>12</v>
      </c>
      <c r="D13" s="80" t="s">
        <v>13</v>
      </c>
      <c r="E13" s="80"/>
      <c r="F13" s="80"/>
      <c r="G13" s="80" t="s">
        <v>14</v>
      </c>
    </row>
    <row r="14" spans="2:10" ht="20.100000000000001" customHeight="1" x14ac:dyDescent="0.25">
      <c r="B14" s="79"/>
      <c r="C14" s="80"/>
      <c r="D14" s="7" t="s">
        <v>2</v>
      </c>
      <c r="E14" s="7" t="s">
        <v>3</v>
      </c>
      <c r="F14" s="7" t="s">
        <v>4</v>
      </c>
      <c r="G14" s="80"/>
    </row>
    <row r="15" spans="2:10" ht="20.100000000000001" customHeight="1" x14ac:dyDescent="0.25">
      <c r="B15" s="41" t="s">
        <v>5</v>
      </c>
      <c r="C15" s="41">
        <v>150</v>
      </c>
      <c r="D15" s="9">
        <v>150</v>
      </c>
      <c r="E15" s="9">
        <v>0</v>
      </c>
      <c r="F15" s="9">
        <v>0</v>
      </c>
      <c r="G15" s="42">
        <f t="shared" ref="G15:G20" si="0">SUM(D15:F15)</f>
        <v>150</v>
      </c>
    </row>
    <row r="16" spans="2:10" ht="20.100000000000001" customHeight="1" x14ac:dyDescent="0.25">
      <c r="B16" s="41" t="s">
        <v>6</v>
      </c>
      <c r="C16" s="41">
        <v>225</v>
      </c>
      <c r="D16" s="9">
        <v>0</v>
      </c>
      <c r="E16" s="9">
        <v>225</v>
      </c>
      <c r="F16" s="9">
        <v>0</v>
      </c>
      <c r="G16" s="42">
        <f t="shared" si="0"/>
        <v>225</v>
      </c>
    </row>
    <row r="17" spans="2:10" ht="20.100000000000001" customHeight="1" x14ac:dyDescent="0.25">
      <c r="B17" s="41" t="s">
        <v>7</v>
      </c>
      <c r="C17" s="41">
        <v>100</v>
      </c>
      <c r="D17" s="9">
        <v>0</v>
      </c>
      <c r="E17" s="9">
        <v>100</v>
      </c>
      <c r="F17" s="9">
        <v>0</v>
      </c>
      <c r="G17" s="42">
        <f t="shared" si="0"/>
        <v>100</v>
      </c>
    </row>
    <row r="18" spans="2:10" ht="20.100000000000001" customHeight="1" x14ac:dyDescent="0.25">
      <c r="B18" s="41" t="s">
        <v>8</v>
      </c>
      <c r="C18" s="41">
        <v>250</v>
      </c>
      <c r="D18" s="9">
        <v>0</v>
      </c>
      <c r="E18" s="9">
        <v>25</v>
      </c>
      <c r="F18" s="9">
        <v>225</v>
      </c>
      <c r="G18" s="42">
        <f t="shared" si="0"/>
        <v>250</v>
      </c>
    </row>
    <row r="19" spans="2:10" ht="20.100000000000001" customHeight="1" x14ac:dyDescent="0.25">
      <c r="B19" s="41" t="s">
        <v>9</v>
      </c>
      <c r="C19" s="41">
        <v>120</v>
      </c>
      <c r="D19" s="9">
        <v>120</v>
      </c>
      <c r="E19" s="9">
        <v>0</v>
      </c>
      <c r="F19" s="9">
        <v>0</v>
      </c>
      <c r="G19" s="42">
        <f t="shared" si="0"/>
        <v>120</v>
      </c>
    </row>
    <row r="20" spans="2:10" ht="20.100000000000001" customHeight="1" x14ac:dyDescent="0.25">
      <c r="B20" s="41" t="s">
        <v>10</v>
      </c>
      <c r="C20" s="41">
        <v>150</v>
      </c>
      <c r="D20" s="9">
        <v>0</v>
      </c>
      <c r="E20" s="9">
        <v>0</v>
      </c>
      <c r="F20" s="9">
        <v>150</v>
      </c>
      <c r="G20" s="42">
        <f t="shared" si="0"/>
        <v>150</v>
      </c>
    </row>
    <row r="21" spans="2:10" ht="20.100000000000001" customHeight="1" x14ac:dyDescent="0.25">
      <c r="B21" s="27" t="s">
        <v>15</v>
      </c>
      <c r="C21" s="27">
        <f>SUM(C15:C20)</f>
        <v>995</v>
      </c>
      <c r="D21" s="10">
        <f>SUM(D15:D20)</f>
        <v>270</v>
      </c>
      <c r="E21" s="10">
        <f t="shared" ref="E21:F21" si="1">SUM(E15:E20)</f>
        <v>350</v>
      </c>
      <c r="F21" s="10">
        <f t="shared" si="1"/>
        <v>375</v>
      </c>
      <c r="G21" s="11">
        <f>SUM(G15:G20)</f>
        <v>995</v>
      </c>
    </row>
    <row r="22" spans="2:10" ht="20.100000000000001" customHeight="1" x14ac:dyDescent="0.25">
      <c r="B22" s="38"/>
      <c r="C22" s="38"/>
      <c r="D22" s="38"/>
      <c r="E22" s="38"/>
      <c r="F22" s="38"/>
      <c r="G22" s="38"/>
    </row>
    <row r="23" spans="2:10" ht="20.100000000000001" customHeight="1" x14ac:dyDescent="0.25">
      <c r="B23" s="81" t="s">
        <v>16</v>
      </c>
      <c r="C23" s="81"/>
      <c r="D23" s="81"/>
      <c r="E23" s="81"/>
      <c r="F23" s="81"/>
      <c r="G23" s="81"/>
    </row>
    <row r="24" spans="2:10" ht="20.100000000000001" customHeight="1" x14ac:dyDescent="0.25">
      <c r="B24" s="2" t="s">
        <v>17</v>
      </c>
      <c r="C24" s="43"/>
      <c r="D24" s="41">
        <v>400</v>
      </c>
      <c r="E24" s="41">
        <v>350</v>
      </c>
      <c r="F24" s="41">
        <v>500</v>
      </c>
      <c r="G24" s="43"/>
    </row>
    <row r="25" spans="2:10" ht="20.100000000000001" customHeight="1" x14ac:dyDescent="0.25">
      <c r="B25" s="2" t="s">
        <v>18</v>
      </c>
      <c r="C25" s="43"/>
      <c r="D25" s="44">
        <f>D24-D21</f>
        <v>130</v>
      </c>
      <c r="E25" s="44">
        <f>E24-E21</f>
        <v>0</v>
      </c>
      <c r="F25" s="44">
        <f>F24-F21</f>
        <v>125</v>
      </c>
      <c r="G25" s="43"/>
    </row>
    <row r="26" spans="2:10" ht="20.100000000000001" customHeight="1" x14ac:dyDescent="0.25">
      <c r="B26" s="38"/>
      <c r="C26" s="38"/>
      <c r="D26" s="45"/>
      <c r="E26" s="45"/>
      <c r="F26" s="45"/>
      <c r="G26" s="38"/>
    </row>
    <row r="27" spans="2:10" ht="20.100000000000001" customHeight="1" x14ac:dyDescent="0.25">
      <c r="B27" s="16" t="s">
        <v>19</v>
      </c>
      <c r="C27" s="3"/>
      <c r="D27" s="12">
        <f>SUMPRODUCT(C6:C11,D15:D20)</f>
        <v>16140</v>
      </c>
      <c r="E27" s="12">
        <f>SUMPRODUCT(D6:D11,E15:E20)</f>
        <v>15000</v>
      </c>
      <c r="F27" s="12">
        <f>SUMPRODUCT(E6:E11,F15:F20)</f>
        <v>24375</v>
      </c>
      <c r="G27" s="4">
        <f>SUM(D27:F27)</f>
        <v>55515</v>
      </c>
    </row>
    <row r="30" spans="2:10" ht="20.100000000000001" customHeight="1" x14ac:dyDescent="0.25">
      <c r="B30" s="5" t="s">
        <v>39</v>
      </c>
    </row>
    <row r="31" spans="2:10" ht="20.100000000000001" customHeight="1" x14ac:dyDescent="0.25">
      <c r="B31" s="28" t="s">
        <v>21</v>
      </c>
      <c r="C31" s="28" t="s">
        <v>22</v>
      </c>
      <c r="D31" s="28" t="s">
        <v>23</v>
      </c>
      <c r="E31" s="28" t="s">
        <v>24</v>
      </c>
      <c r="F31" s="28" t="s">
        <v>25</v>
      </c>
      <c r="G31" s="46"/>
      <c r="H31" s="28" t="s">
        <v>26</v>
      </c>
      <c r="I31" s="28" t="s">
        <v>27</v>
      </c>
      <c r="J31" s="28" t="s">
        <v>28</v>
      </c>
    </row>
    <row r="32" spans="2:10" ht="20.100000000000001" customHeight="1" x14ac:dyDescent="0.25">
      <c r="B32" s="41">
        <v>1</v>
      </c>
      <c r="C32" s="47">
        <v>29.999999999999972</v>
      </c>
      <c r="D32" s="41">
        <v>24.999999999999996</v>
      </c>
      <c r="E32" s="41">
        <v>0</v>
      </c>
      <c r="F32" s="47">
        <f>SUM(C32:E32)</f>
        <v>54.999999999999972</v>
      </c>
      <c r="G32" s="46" t="s">
        <v>29</v>
      </c>
      <c r="H32" s="41">
        <v>130</v>
      </c>
      <c r="I32" s="48">
        <v>200</v>
      </c>
      <c r="J32" s="41">
        <v>70</v>
      </c>
    </row>
    <row r="33" spans="2:10" ht="20.100000000000001" customHeight="1" x14ac:dyDescent="0.25">
      <c r="B33" s="41">
        <v>2</v>
      </c>
      <c r="C33" s="47">
        <v>64.285714285714334</v>
      </c>
      <c r="D33" s="41">
        <v>124.99999999999997</v>
      </c>
      <c r="E33" s="47">
        <v>10.714285714285714</v>
      </c>
      <c r="F33" s="47">
        <f>SUM(C33:E33)</f>
        <v>200.00000000000003</v>
      </c>
      <c r="G33" s="46" t="s">
        <v>29</v>
      </c>
      <c r="H33" s="41">
        <v>200</v>
      </c>
      <c r="I33" s="48">
        <v>180</v>
      </c>
      <c r="J33" s="41">
        <v>76</v>
      </c>
    </row>
    <row r="34" spans="2:10" ht="20.100000000000001" customHeight="1" x14ac:dyDescent="0.25">
      <c r="B34" s="41">
        <v>3</v>
      </c>
      <c r="C34" s="47">
        <v>5.7142857142857011</v>
      </c>
      <c r="D34" s="41">
        <v>0</v>
      </c>
      <c r="E34" s="47">
        <v>139.28571428571428</v>
      </c>
      <c r="F34" s="47">
        <f>SUM(C34:E34)</f>
        <v>144.99999999999997</v>
      </c>
      <c r="G34" s="46" t="s">
        <v>29</v>
      </c>
      <c r="H34" s="41">
        <v>180</v>
      </c>
      <c r="I34" s="48">
        <v>250</v>
      </c>
      <c r="J34" s="41">
        <v>90</v>
      </c>
    </row>
    <row r="35" spans="2:10" ht="20.100000000000001" customHeight="1" x14ac:dyDescent="0.25">
      <c r="B35" s="27" t="s">
        <v>30</v>
      </c>
      <c r="C35" s="47">
        <f>SUM(C32:C34)</f>
        <v>100</v>
      </c>
      <c r="D35" s="41">
        <f>SUM(D32:D34)</f>
        <v>149.99999999999997</v>
      </c>
      <c r="E35" s="47">
        <f>SUM(E32:E34)</f>
        <v>150</v>
      </c>
      <c r="F35" s="38"/>
      <c r="G35" s="38"/>
      <c r="H35" s="38"/>
      <c r="I35" s="38"/>
      <c r="J35" s="38"/>
    </row>
    <row r="36" spans="2:10" ht="20.100000000000001" customHeight="1" x14ac:dyDescent="0.25">
      <c r="B36" s="15"/>
      <c r="C36" s="46" t="s">
        <v>31</v>
      </c>
      <c r="D36" s="46" t="s">
        <v>31</v>
      </c>
      <c r="E36" s="46" t="s">
        <v>31</v>
      </c>
      <c r="F36" s="38"/>
      <c r="G36" s="38"/>
      <c r="H36" s="38"/>
      <c r="I36" s="38"/>
      <c r="J36" s="38"/>
    </row>
    <row r="37" spans="2:10" ht="20.100000000000001" customHeight="1" x14ac:dyDescent="0.25">
      <c r="B37" s="27" t="s">
        <v>32</v>
      </c>
      <c r="C37" s="41">
        <v>100</v>
      </c>
      <c r="D37" s="41">
        <v>150</v>
      </c>
      <c r="E37" s="41">
        <v>150</v>
      </c>
      <c r="F37" s="38"/>
      <c r="G37" s="46"/>
      <c r="H37" s="27" t="s">
        <v>33</v>
      </c>
      <c r="I37" s="73">
        <f>SUMPRODUCT(C38:E38,C35:E35)</f>
        <v>97000</v>
      </c>
      <c r="J37" s="74"/>
    </row>
    <row r="38" spans="2:10" ht="20.100000000000001" customHeight="1" x14ac:dyDescent="0.25">
      <c r="B38" s="27" t="s">
        <v>34</v>
      </c>
      <c r="C38" s="48">
        <v>220</v>
      </c>
      <c r="D38" s="48">
        <v>200</v>
      </c>
      <c r="E38" s="48">
        <v>300</v>
      </c>
      <c r="F38" s="38"/>
      <c r="G38" s="46"/>
      <c r="H38" s="27" t="s">
        <v>35</v>
      </c>
      <c r="I38" s="73">
        <f>SUMPRODUCT(I32:I34,F32:F34)</f>
        <v>83250</v>
      </c>
      <c r="J38" s="74"/>
    </row>
    <row r="39" spans="2:10" ht="20.100000000000001" customHeight="1" x14ac:dyDescent="0.25">
      <c r="B39" s="27" t="s">
        <v>36</v>
      </c>
      <c r="C39" s="41">
        <v>75</v>
      </c>
      <c r="D39" s="41">
        <v>75</v>
      </c>
      <c r="E39" s="41">
        <v>89</v>
      </c>
      <c r="F39" s="38"/>
      <c r="G39" s="46"/>
      <c r="H39" s="27" t="s">
        <v>37</v>
      </c>
      <c r="I39" s="75">
        <f>I37-I38</f>
        <v>13750</v>
      </c>
      <c r="J39" s="75"/>
    </row>
    <row r="40" spans="2:10" ht="20.100000000000001" customHeight="1" x14ac:dyDescent="0.25">
      <c r="B40" s="15"/>
      <c r="C40" s="38"/>
      <c r="D40" s="38"/>
      <c r="E40" s="38"/>
      <c r="F40" s="38"/>
      <c r="G40" s="38"/>
      <c r="H40" s="46"/>
      <c r="I40" s="46"/>
      <c r="J40" s="46"/>
    </row>
    <row r="41" spans="2:10" ht="20.100000000000001" customHeight="1" x14ac:dyDescent="0.25">
      <c r="B41" s="76" t="s">
        <v>38</v>
      </c>
      <c r="C41" s="41">
        <f>SUMPRODUCT($J$32:$J$34,C32:C34)</f>
        <v>7500.0000000000009</v>
      </c>
      <c r="D41" s="41">
        <f>SUMPRODUCT($J$32:$J$34,D32:D34)</f>
        <v>11249.999999999998</v>
      </c>
      <c r="E41" s="41">
        <f>SUMPRODUCT($J$32:$J$34,E32:E34)</f>
        <v>13349.999999999998</v>
      </c>
      <c r="F41" s="38"/>
      <c r="G41" s="38"/>
      <c r="H41" s="38"/>
      <c r="I41" s="38"/>
      <c r="J41" s="38"/>
    </row>
    <row r="42" spans="2:10" ht="20.100000000000001" customHeight="1" x14ac:dyDescent="0.25">
      <c r="B42" s="76"/>
      <c r="C42" s="41" t="s">
        <v>31</v>
      </c>
      <c r="D42" s="41" t="s">
        <v>31</v>
      </c>
      <c r="E42" s="41" t="s">
        <v>31</v>
      </c>
      <c r="F42" s="38"/>
      <c r="G42" s="38"/>
      <c r="H42" s="38"/>
      <c r="I42" s="38"/>
      <c r="J42" s="38"/>
    </row>
    <row r="43" spans="2:10" ht="20.100000000000001" customHeight="1" x14ac:dyDescent="0.25">
      <c r="B43" s="76"/>
      <c r="C43" s="41">
        <f>C39*C35</f>
        <v>7500</v>
      </c>
      <c r="D43" s="41">
        <f>D39*D35</f>
        <v>11249.999999999998</v>
      </c>
      <c r="E43" s="41">
        <f>E39*E35</f>
        <v>13350</v>
      </c>
      <c r="F43" s="38"/>
      <c r="G43" s="38"/>
      <c r="H43" s="38"/>
      <c r="I43" s="38"/>
      <c r="J43" s="38"/>
    </row>
    <row r="46" spans="2:10" ht="20.100000000000001" customHeight="1" x14ac:dyDescent="0.25">
      <c r="B46" s="5" t="s">
        <v>46</v>
      </c>
    </row>
    <row r="47" spans="2:10" ht="20.100000000000001" customHeight="1" x14ac:dyDescent="0.25">
      <c r="B47" s="28" t="s">
        <v>40</v>
      </c>
      <c r="C47" s="28" t="s">
        <v>41</v>
      </c>
      <c r="D47" s="28" t="s">
        <v>42</v>
      </c>
      <c r="E47" s="28" t="s">
        <v>37</v>
      </c>
    </row>
    <row r="48" spans="2:10" ht="20.100000000000001" customHeight="1" x14ac:dyDescent="0.25">
      <c r="B48" s="41" t="s">
        <v>43</v>
      </c>
      <c r="C48" s="41">
        <v>50</v>
      </c>
      <c r="D48" s="50">
        <v>13</v>
      </c>
      <c r="E48" s="51">
        <f>C48*D48</f>
        <v>650</v>
      </c>
    </row>
    <row r="49" spans="2:5" ht="20.100000000000001" customHeight="1" x14ac:dyDescent="0.25">
      <c r="B49" s="41" t="s">
        <v>44</v>
      </c>
      <c r="C49" s="41">
        <v>100</v>
      </c>
      <c r="D49" s="50">
        <v>18</v>
      </c>
      <c r="E49" s="51">
        <f t="shared" ref="E49:E64" si="2">C49*D49</f>
        <v>1800</v>
      </c>
    </row>
    <row r="50" spans="2:5" ht="20.100000000000001" customHeight="1" x14ac:dyDescent="0.25">
      <c r="B50" s="41" t="s">
        <v>45</v>
      </c>
      <c r="C50" s="41">
        <v>40</v>
      </c>
      <c r="D50" s="50">
        <v>22</v>
      </c>
      <c r="E50" s="51">
        <f t="shared" si="2"/>
        <v>880</v>
      </c>
    </row>
    <row r="51" spans="2:5" ht="20.100000000000001" customHeight="1" x14ac:dyDescent="0.25">
      <c r="B51" s="41" t="s">
        <v>47</v>
      </c>
      <c r="C51" s="41">
        <v>15</v>
      </c>
      <c r="D51" s="50">
        <v>17</v>
      </c>
      <c r="E51" s="51">
        <f t="shared" si="2"/>
        <v>255</v>
      </c>
    </row>
    <row r="52" spans="2:5" ht="20.100000000000001" customHeight="1" x14ac:dyDescent="0.25">
      <c r="B52" s="41" t="s">
        <v>48</v>
      </c>
      <c r="C52" s="41">
        <v>15</v>
      </c>
      <c r="D52" s="50">
        <v>3</v>
      </c>
      <c r="E52" s="51">
        <f t="shared" si="2"/>
        <v>45</v>
      </c>
    </row>
    <row r="53" spans="2:5" ht="20.100000000000001" customHeight="1" x14ac:dyDescent="0.25">
      <c r="B53" s="41" t="s">
        <v>49</v>
      </c>
      <c r="C53" s="41">
        <v>15</v>
      </c>
      <c r="D53" s="50">
        <v>9</v>
      </c>
      <c r="E53" s="51">
        <f t="shared" si="2"/>
        <v>135</v>
      </c>
    </row>
    <row r="54" spans="2:5" ht="20.100000000000001" customHeight="1" x14ac:dyDescent="0.25">
      <c r="B54" s="41" t="s">
        <v>50</v>
      </c>
      <c r="C54" s="41">
        <v>15</v>
      </c>
      <c r="D54" s="50">
        <v>2</v>
      </c>
      <c r="E54" s="51">
        <f t="shared" si="2"/>
        <v>30</v>
      </c>
    </row>
    <row r="55" spans="2:5" ht="20.100000000000001" customHeight="1" x14ac:dyDescent="0.25">
      <c r="B55" s="41" t="s">
        <v>51</v>
      </c>
      <c r="C55" s="41">
        <v>15</v>
      </c>
      <c r="D55" s="50">
        <v>2.5</v>
      </c>
      <c r="E55" s="51">
        <f t="shared" si="2"/>
        <v>37.5</v>
      </c>
    </row>
    <row r="56" spans="2:5" ht="20.100000000000001" customHeight="1" x14ac:dyDescent="0.25">
      <c r="B56" s="41" t="s">
        <v>52</v>
      </c>
      <c r="C56" s="41">
        <v>15</v>
      </c>
      <c r="D56" s="50">
        <v>11</v>
      </c>
      <c r="E56" s="51">
        <f t="shared" si="2"/>
        <v>165</v>
      </c>
    </row>
    <row r="57" spans="2:5" ht="20.100000000000001" customHeight="1" x14ac:dyDescent="0.25">
      <c r="B57" s="41" t="s">
        <v>53</v>
      </c>
      <c r="C57" s="41">
        <v>15</v>
      </c>
      <c r="D57" s="50">
        <v>2</v>
      </c>
      <c r="E57" s="51">
        <f t="shared" si="2"/>
        <v>30</v>
      </c>
    </row>
    <row r="58" spans="2:5" ht="20.100000000000001" customHeight="1" x14ac:dyDescent="0.25">
      <c r="B58" s="41" t="s">
        <v>54</v>
      </c>
      <c r="C58" s="41">
        <v>15</v>
      </c>
      <c r="D58" s="50">
        <v>12</v>
      </c>
      <c r="E58" s="51">
        <f t="shared" si="2"/>
        <v>180</v>
      </c>
    </row>
    <row r="59" spans="2:5" ht="20.100000000000001" customHeight="1" x14ac:dyDescent="0.25">
      <c r="B59" s="41" t="s">
        <v>55</v>
      </c>
      <c r="C59" s="41">
        <v>15</v>
      </c>
      <c r="D59" s="50">
        <v>3</v>
      </c>
      <c r="E59" s="51">
        <f t="shared" si="2"/>
        <v>45</v>
      </c>
    </row>
    <row r="60" spans="2:5" ht="20.100000000000001" customHeight="1" x14ac:dyDescent="0.25">
      <c r="B60" s="41" t="s">
        <v>56</v>
      </c>
      <c r="C60" s="41">
        <v>15</v>
      </c>
      <c r="D60" s="50">
        <v>12</v>
      </c>
      <c r="E60" s="51">
        <f t="shared" si="2"/>
        <v>180</v>
      </c>
    </row>
    <row r="61" spans="2:5" ht="20.100000000000001" customHeight="1" x14ac:dyDescent="0.25">
      <c r="B61" s="41" t="s">
        <v>57</v>
      </c>
      <c r="C61" s="41">
        <v>15</v>
      </c>
      <c r="D61" s="50">
        <v>6</v>
      </c>
      <c r="E61" s="51">
        <f t="shared" si="2"/>
        <v>90</v>
      </c>
    </row>
    <row r="62" spans="2:5" ht="20.100000000000001" customHeight="1" x14ac:dyDescent="0.25">
      <c r="B62" s="41" t="s">
        <v>58</v>
      </c>
      <c r="C62" s="41">
        <v>15</v>
      </c>
      <c r="D62" s="50">
        <v>5</v>
      </c>
      <c r="E62" s="51">
        <f t="shared" si="2"/>
        <v>75</v>
      </c>
    </row>
    <row r="63" spans="2:5" ht="20.100000000000001" customHeight="1" x14ac:dyDescent="0.25">
      <c r="B63" s="41" t="s">
        <v>59</v>
      </c>
      <c r="C63" s="41">
        <v>15</v>
      </c>
      <c r="D63" s="50">
        <v>13</v>
      </c>
      <c r="E63" s="51">
        <f t="shared" si="2"/>
        <v>195</v>
      </c>
    </row>
    <row r="64" spans="2:5" ht="20.100000000000001" customHeight="1" x14ac:dyDescent="0.25">
      <c r="B64" s="41" t="s">
        <v>60</v>
      </c>
      <c r="C64" s="41">
        <v>15</v>
      </c>
      <c r="D64" s="50">
        <v>11</v>
      </c>
      <c r="E64" s="51">
        <f t="shared" si="2"/>
        <v>165</v>
      </c>
    </row>
    <row r="65" spans="2:10" ht="20.100000000000001" customHeight="1" x14ac:dyDescent="0.25">
      <c r="B65" s="17" t="s">
        <v>15</v>
      </c>
      <c r="C65" s="17">
        <f>SUM(C48:C64)</f>
        <v>400</v>
      </c>
      <c r="D65" s="52"/>
      <c r="E65" s="18">
        <f>SUM(E48:E64)</f>
        <v>4957.5</v>
      </c>
    </row>
    <row r="68" spans="2:10" ht="20.100000000000001" customHeight="1" x14ac:dyDescent="0.25">
      <c r="B68" s="5" t="s">
        <v>75</v>
      </c>
    </row>
    <row r="69" spans="2:10" ht="20.100000000000001" customHeight="1" x14ac:dyDescent="0.25">
      <c r="B69" s="77" t="s">
        <v>61</v>
      </c>
      <c r="C69" s="77"/>
      <c r="D69" s="77"/>
      <c r="E69" s="77"/>
      <c r="F69" s="77"/>
      <c r="G69" s="77"/>
      <c r="H69" s="77" t="s">
        <v>62</v>
      </c>
      <c r="I69" s="77"/>
      <c r="J69" s="77"/>
    </row>
    <row r="70" spans="2:10" ht="20.100000000000001" customHeight="1" x14ac:dyDescent="0.25">
      <c r="B70" s="27" t="s">
        <v>63</v>
      </c>
      <c r="C70" s="27" t="s">
        <v>64</v>
      </c>
      <c r="D70" s="27" t="s">
        <v>65</v>
      </c>
      <c r="E70" s="27" t="s">
        <v>66</v>
      </c>
      <c r="F70" s="27" t="s">
        <v>67</v>
      </c>
      <c r="G70" s="27" t="s">
        <v>68</v>
      </c>
      <c r="H70" s="27" t="s">
        <v>69</v>
      </c>
      <c r="I70" s="27" t="s">
        <v>64</v>
      </c>
      <c r="J70" s="27" t="s">
        <v>68</v>
      </c>
    </row>
    <row r="71" spans="2:10" ht="20.100000000000001" customHeight="1" x14ac:dyDescent="0.25">
      <c r="B71" s="41" t="s">
        <v>70</v>
      </c>
      <c r="C71" s="41">
        <v>6000</v>
      </c>
      <c r="D71" s="41">
        <v>15.37</v>
      </c>
      <c r="E71" s="51">
        <f>C71*D71</f>
        <v>92220</v>
      </c>
      <c r="F71" s="53">
        <v>2.46E-2</v>
      </c>
      <c r="G71" s="54">
        <f>C71*F71</f>
        <v>147.6</v>
      </c>
      <c r="H71" s="41">
        <v>60000</v>
      </c>
      <c r="I71" s="41">
        <f>H71/D71</f>
        <v>3903.7085230969424</v>
      </c>
      <c r="J71" s="55">
        <f>F71*I71</f>
        <v>96.031229668184778</v>
      </c>
    </row>
    <row r="72" spans="2:10" ht="20.100000000000001" customHeight="1" x14ac:dyDescent="0.25">
      <c r="B72" s="41" t="s">
        <v>71</v>
      </c>
      <c r="C72" s="41">
        <v>9000</v>
      </c>
      <c r="D72" s="41">
        <v>16</v>
      </c>
      <c r="E72" s="51">
        <f t="shared" ref="E72:E82" si="3">C72*D72</f>
        <v>144000</v>
      </c>
      <c r="F72" s="53">
        <v>2.1700000000000001E-2</v>
      </c>
      <c r="G72" s="54">
        <f t="shared" ref="G72:G82" si="4">C72*F72</f>
        <v>195.3</v>
      </c>
      <c r="H72" s="41">
        <v>60000</v>
      </c>
      <c r="I72" s="41">
        <f>H72/D72</f>
        <v>3750</v>
      </c>
      <c r="J72" s="55">
        <f t="shared" ref="J72:J75" si="5">F72*I72</f>
        <v>81.375</v>
      </c>
    </row>
    <row r="73" spans="2:10" ht="20.100000000000001" customHeight="1" x14ac:dyDescent="0.25">
      <c r="B73" s="41" t="s">
        <v>72</v>
      </c>
      <c r="C73" s="41">
        <v>4000</v>
      </c>
      <c r="D73" s="41">
        <v>15.9</v>
      </c>
      <c r="E73" s="51">
        <f t="shared" si="3"/>
        <v>63600</v>
      </c>
      <c r="F73" s="53">
        <v>2.1299999999999999E-2</v>
      </c>
      <c r="G73" s="54">
        <f t="shared" si="4"/>
        <v>85.2</v>
      </c>
      <c r="H73" s="41">
        <v>60000</v>
      </c>
      <c r="I73" s="41">
        <f>H73/D73</f>
        <v>3773.5849056603774</v>
      </c>
      <c r="J73" s="55">
        <f t="shared" si="5"/>
        <v>80.377358490566039</v>
      </c>
    </row>
    <row r="74" spans="2:10" ht="20.100000000000001" customHeight="1" x14ac:dyDescent="0.25">
      <c r="B74" s="41" t="s">
        <v>73</v>
      </c>
      <c r="C74" s="41">
        <v>5000</v>
      </c>
      <c r="D74" s="41">
        <v>12</v>
      </c>
      <c r="E74" s="51">
        <f t="shared" si="3"/>
        <v>60000</v>
      </c>
      <c r="F74" s="53">
        <v>2.1000000000000001E-2</v>
      </c>
      <c r="G74" s="54">
        <f t="shared" si="4"/>
        <v>105</v>
      </c>
      <c r="H74" s="41">
        <v>60000</v>
      </c>
      <c r="I74" s="41">
        <f>H74/D74</f>
        <v>5000</v>
      </c>
      <c r="J74" s="55">
        <f t="shared" si="5"/>
        <v>105</v>
      </c>
    </row>
    <row r="75" spans="2:10" ht="20.100000000000001" customHeight="1" x14ac:dyDescent="0.25">
      <c r="B75" s="41" t="s">
        <v>74</v>
      </c>
      <c r="C75" s="41">
        <v>4000</v>
      </c>
      <c r="D75" s="41">
        <v>17</v>
      </c>
      <c r="E75" s="51">
        <f t="shared" si="3"/>
        <v>68000</v>
      </c>
      <c r="F75" s="53">
        <v>2.5700000000000001E-2</v>
      </c>
      <c r="G75" s="54">
        <f t="shared" si="4"/>
        <v>102.8</v>
      </c>
      <c r="H75" s="41">
        <v>60000</v>
      </c>
      <c r="I75" s="41">
        <f>H75/D75</f>
        <v>3529.4117647058824</v>
      </c>
      <c r="J75" s="55">
        <f t="shared" si="5"/>
        <v>90.705882352941174</v>
      </c>
    </row>
    <row r="76" spans="2:10" ht="20.100000000000001" customHeight="1" x14ac:dyDescent="0.25">
      <c r="B76" s="41" t="s">
        <v>76</v>
      </c>
      <c r="C76" s="41">
        <v>7000</v>
      </c>
      <c r="D76" s="41">
        <v>15.8</v>
      </c>
      <c r="E76" s="51">
        <f t="shared" si="3"/>
        <v>110600</v>
      </c>
      <c r="F76" s="53">
        <v>2.3300000000000001E-2</v>
      </c>
      <c r="G76" s="54">
        <f t="shared" si="4"/>
        <v>163.10000000000002</v>
      </c>
      <c r="H76" s="41">
        <v>60000</v>
      </c>
      <c r="I76" s="41">
        <f t="shared" ref="I76:I82" si="6">H76/D76</f>
        <v>3797.4683544303793</v>
      </c>
      <c r="J76" s="55">
        <f t="shared" ref="J76:J82" si="7">F76*I76</f>
        <v>88.48101265822784</v>
      </c>
    </row>
    <row r="77" spans="2:10" ht="20.100000000000001" customHeight="1" x14ac:dyDescent="0.25">
      <c r="B77" s="41" t="s">
        <v>77</v>
      </c>
      <c r="C77" s="41">
        <v>3500</v>
      </c>
      <c r="D77" s="41">
        <v>14.3</v>
      </c>
      <c r="E77" s="51">
        <f t="shared" si="3"/>
        <v>50050</v>
      </c>
      <c r="F77" s="53">
        <v>1.9900000000000001E-2</v>
      </c>
      <c r="G77" s="54">
        <f t="shared" si="4"/>
        <v>69.650000000000006</v>
      </c>
      <c r="H77" s="41">
        <v>60000</v>
      </c>
      <c r="I77" s="41">
        <f t="shared" si="6"/>
        <v>4195.8041958041958</v>
      </c>
      <c r="J77" s="55">
        <f t="shared" si="7"/>
        <v>83.496503496503507</v>
      </c>
    </row>
    <row r="78" spans="2:10" ht="20.100000000000001" customHeight="1" x14ac:dyDescent="0.25">
      <c r="B78" s="41" t="s">
        <v>78</v>
      </c>
      <c r="C78" s="41">
        <v>1700</v>
      </c>
      <c r="D78" s="41">
        <v>15.2</v>
      </c>
      <c r="E78" s="51">
        <f t="shared" si="3"/>
        <v>25840</v>
      </c>
      <c r="F78" s="53">
        <v>2.1700000000000001E-2</v>
      </c>
      <c r="G78" s="54">
        <f t="shared" si="4"/>
        <v>36.89</v>
      </c>
      <c r="H78" s="41">
        <v>60000</v>
      </c>
      <c r="I78" s="41">
        <f t="shared" si="6"/>
        <v>3947.3684210526317</v>
      </c>
      <c r="J78" s="55">
        <f t="shared" si="7"/>
        <v>85.65789473684211</v>
      </c>
    </row>
    <row r="79" spans="2:10" ht="20.100000000000001" customHeight="1" x14ac:dyDescent="0.25">
      <c r="B79" s="41" t="s">
        <v>130</v>
      </c>
      <c r="C79" s="41">
        <v>1900</v>
      </c>
      <c r="D79" s="41">
        <v>10.5</v>
      </c>
      <c r="E79" s="51">
        <f t="shared" si="3"/>
        <v>19950</v>
      </c>
      <c r="F79" s="53">
        <v>2.1999999999999999E-2</v>
      </c>
      <c r="G79" s="54">
        <f t="shared" si="4"/>
        <v>41.8</v>
      </c>
      <c r="H79" s="41">
        <v>60000</v>
      </c>
      <c r="I79" s="41">
        <f t="shared" si="6"/>
        <v>5714.2857142857147</v>
      </c>
      <c r="J79" s="55">
        <f t="shared" si="7"/>
        <v>125.71428571428572</v>
      </c>
    </row>
    <row r="80" spans="2:10" ht="20.100000000000001" customHeight="1" x14ac:dyDescent="0.25">
      <c r="B80" s="41" t="s">
        <v>79</v>
      </c>
      <c r="C80" s="41">
        <v>2100</v>
      </c>
      <c r="D80" s="41">
        <v>11.8</v>
      </c>
      <c r="E80" s="51">
        <f t="shared" si="3"/>
        <v>24780</v>
      </c>
      <c r="F80" s="53">
        <v>2.1000000000000001E-2</v>
      </c>
      <c r="G80" s="54">
        <f t="shared" si="4"/>
        <v>44.1</v>
      </c>
      <c r="H80" s="41">
        <v>60000</v>
      </c>
      <c r="I80" s="41">
        <f t="shared" si="6"/>
        <v>5084.7457627118638</v>
      </c>
      <c r="J80" s="55">
        <f t="shared" si="7"/>
        <v>106.77966101694915</v>
      </c>
    </row>
    <row r="81" spans="2:10" ht="20.100000000000001" customHeight="1" x14ac:dyDescent="0.25">
      <c r="B81" s="41" t="s">
        <v>80</v>
      </c>
      <c r="C81" s="41">
        <v>4530</v>
      </c>
      <c r="D81" s="41">
        <v>12.5</v>
      </c>
      <c r="E81" s="51">
        <f t="shared" si="3"/>
        <v>56625</v>
      </c>
      <c r="F81" s="53">
        <v>2.01E-2</v>
      </c>
      <c r="G81" s="54">
        <f t="shared" si="4"/>
        <v>91.052999999999997</v>
      </c>
      <c r="H81" s="41">
        <v>60000</v>
      </c>
      <c r="I81" s="41">
        <f t="shared" si="6"/>
        <v>4800</v>
      </c>
      <c r="J81" s="55">
        <f t="shared" si="7"/>
        <v>96.48</v>
      </c>
    </row>
    <row r="82" spans="2:10" ht="20.100000000000001" customHeight="1" x14ac:dyDescent="0.25">
      <c r="B82" s="41" t="s">
        <v>81</v>
      </c>
      <c r="C82" s="41">
        <v>700</v>
      </c>
      <c r="D82" s="41">
        <v>7</v>
      </c>
      <c r="E82" s="51">
        <f t="shared" si="3"/>
        <v>4900</v>
      </c>
      <c r="F82" s="53">
        <v>1.9800000000000002E-2</v>
      </c>
      <c r="G82" s="54">
        <f t="shared" si="4"/>
        <v>13.860000000000001</v>
      </c>
      <c r="H82" s="41">
        <v>60565.000000727501</v>
      </c>
      <c r="I82" s="41">
        <f t="shared" si="6"/>
        <v>8652.1428572467867</v>
      </c>
      <c r="J82" s="55">
        <f t="shared" si="7"/>
        <v>171.31242857348639</v>
      </c>
    </row>
    <row r="83" spans="2:10" ht="20.100000000000001" customHeight="1" x14ac:dyDescent="0.25">
      <c r="B83" s="41" t="s">
        <v>15</v>
      </c>
      <c r="C83" s="41">
        <f>SUM(C71:C82)</f>
        <v>49430</v>
      </c>
      <c r="D83" s="41"/>
      <c r="E83" s="51">
        <f>SUM(E71:E82)</f>
        <v>720565</v>
      </c>
      <c r="F83" s="41"/>
      <c r="G83" s="54">
        <f>SUM(G71:G82)</f>
        <v>1096.3529999999998</v>
      </c>
      <c r="H83" s="41">
        <f>SUM(H71:H82)</f>
        <v>720565.00000072748</v>
      </c>
      <c r="I83" s="41">
        <f>SUM(I71:I82)</f>
        <v>56148.520498994774</v>
      </c>
      <c r="J83" s="55">
        <f>SUM(J71:J82)</f>
        <v>1211.4112567079867</v>
      </c>
    </row>
    <row r="86" spans="2:10" ht="20.100000000000001" customHeight="1" x14ac:dyDescent="0.25">
      <c r="B86" s="5" t="s">
        <v>95</v>
      </c>
    </row>
    <row r="87" spans="2:10" ht="20.100000000000001" customHeight="1" x14ac:dyDescent="0.25">
      <c r="B87" s="28" t="s">
        <v>94</v>
      </c>
      <c r="C87" s="41"/>
      <c r="D87" s="56" t="s">
        <v>85</v>
      </c>
      <c r="E87" s="56" t="s">
        <v>86</v>
      </c>
      <c r="F87" s="56" t="s">
        <v>87</v>
      </c>
      <c r="G87" s="56" t="s">
        <v>88</v>
      </c>
      <c r="H87" s="56" t="s">
        <v>89</v>
      </c>
      <c r="I87" s="56" t="s">
        <v>90</v>
      </c>
      <c r="J87" s="56" t="s">
        <v>91</v>
      </c>
    </row>
    <row r="88" spans="2:10" ht="20.100000000000001" customHeight="1" x14ac:dyDescent="0.25">
      <c r="B88" s="41">
        <v>5</v>
      </c>
      <c r="C88" s="56" t="s">
        <v>85</v>
      </c>
      <c r="D88" s="41">
        <v>1</v>
      </c>
      <c r="E88" s="41">
        <v>1</v>
      </c>
      <c r="F88" s="41">
        <v>1</v>
      </c>
      <c r="G88" s="41">
        <v>1</v>
      </c>
      <c r="H88" s="41">
        <v>1</v>
      </c>
      <c r="I88" s="41">
        <v>0</v>
      </c>
      <c r="J88" s="41">
        <v>0</v>
      </c>
    </row>
    <row r="89" spans="2:10" ht="20.100000000000001" customHeight="1" x14ac:dyDescent="0.25">
      <c r="B89" s="41">
        <v>3</v>
      </c>
      <c r="C89" s="56" t="s">
        <v>86</v>
      </c>
      <c r="D89" s="41">
        <v>0</v>
      </c>
      <c r="E89" s="41">
        <v>1</v>
      </c>
      <c r="F89" s="41">
        <v>1</v>
      </c>
      <c r="G89" s="41">
        <v>1</v>
      </c>
      <c r="H89" s="41">
        <v>1</v>
      </c>
      <c r="I89" s="41">
        <v>1</v>
      </c>
      <c r="J89" s="41">
        <v>0</v>
      </c>
    </row>
    <row r="90" spans="2:10" ht="20.100000000000001" customHeight="1" x14ac:dyDescent="0.25">
      <c r="B90" s="41">
        <v>0</v>
      </c>
      <c r="C90" s="56" t="s">
        <v>87</v>
      </c>
      <c r="D90" s="41">
        <v>0</v>
      </c>
      <c r="E90" s="41">
        <v>0</v>
      </c>
      <c r="F90" s="41">
        <v>1</v>
      </c>
      <c r="G90" s="41">
        <v>1</v>
      </c>
      <c r="H90" s="41">
        <v>1</v>
      </c>
      <c r="I90" s="41">
        <v>1</v>
      </c>
      <c r="J90" s="41">
        <v>1</v>
      </c>
    </row>
    <row r="91" spans="2:10" ht="20.100000000000001" customHeight="1" x14ac:dyDescent="0.25">
      <c r="B91" s="41">
        <v>4</v>
      </c>
      <c r="C91" s="56" t="s">
        <v>88</v>
      </c>
      <c r="D91" s="41">
        <v>1</v>
      </c>
      <c r="E91" s="41">
        <v>0</v>
      </c>
      <c r="F91" s="41">
        <v>0</v>
      </c>
      <c r="G91" s="41">
        <v>1</v>
      </c>
      <c r="H91" s="41">
        <v>1</v>
      </c>
      <c r="I91" s="41">
        <v>1</v>
      </c>
      <c r="J91" s="41">
        <v>1</v>
      </c>
    </row>
    <row r="92" spans="2:10" ht="20.100000000000001" customHeight="1" x14ac:dyDescent="0.25">
      <c r="B92" s="41">
        <v>0</v>
      </c>
      <c r="C92" s="56" t="s">
        <v>89</v>
      </c>
      <c r="D92" s="41">
        <v>1</v>
      </c>
      <c r="E92" s="41">
        <v>1</v>
      </c>
      <c r="F92" s="41">
        <v>0</v>
      </c>
      <c r="G92" s="41">
        <v>0</v>
      </c>
      <c r="H92" s="41">
        <v>1</v>
      </c>
      <c r="I92" s="41">
        <v>1</v>
      </c>
      <c r="J92" s="41">
        <v>1</v>
      </c>
    </row>
    <row r="93" spans="2:10" ht="20.100000000000001" customHeight="1" x14ac:dyDescent="0.25">
      <c r="B93" s="41">
        <v>3</v>
      </c>
      <c r="C93" s="56" t="s">
        <v>90</v>
      </c>
      <c r="D93" s="41">
        <v>1</v>
      </c>
      <c r="E93" s="41">
        <v>1</v>
      </c>
      <c r="F93" s="41">
        <v>1</v>
      </c>
      <c r="G93" s="41">
        <v>0</v>
      </c>
      <c r="H93" s="41">
        <v>0</v>
      </c>
      <c r="I93" s="41">
        <v>1</v>
      </c>
      <c r="J93" s="41">
        <v>1</v>
      </c>
    </row>
    <row r="94" spans="2:10" ht="20.100000000000001" customHeight="1" x14ac:dyDescent="0.25">
      <c r="B94" s="41">
        <v>5</v>
      </c>
      <c r="C94" s="56" t="s">
        <v>91</v>
      </c>
      <c r="D94" s="41">
        <v>1</v>
      </c>
      <c r="E94" s="41">
        <v>1</v>
      </c>
      <c r="F94" s="41">
        <v>1</v>
      </c>
      <c r="G94" s="41">
        <v>1</v>
      </c>
      <c r="H94" s="41">
        <v>0</v>
      </c>
      <c r="I94" s="41">
        <v>0</v>
      </c>
      <c r="J94" s="41">
        <v>1</v>
      </c>
    </row>
    <row r="95" spans="2:10" ht="20.100000000000001" customHeight="1" x14ac:dyDescent="0.25">
      <c r="B95" s="36"/>
    </row>
    <row r="96" spans="2:10" ht="20.100000000000001" customHeight="1" x14ac:dyDescent="0.25">
      <c r="B96" s="36"/>
      <c r="C96" s="41" t="s">
        <v>92</v>
      </c>
      <c r="D96" s="41">
        <f t="shared" ref="D96:J96" si="8">SUMPRODUCT($B$88:$B$94,D$88:D$94)</f>
        <v>17</v>
      </c>
      <c r="E96" s="41">
        <f t="shared" si="8"/>
        <v>16</v>
      </c>
      <c r="F96" s="41">
        <f t="shared" si="8"/>
        <v>16</v>
      </c>
      <c r="G96" s="41">
        <f t="shared" si="8"/>
        <v>17</v>
      </c>
      <c r="H96" s="41">
        <f t="shared" si="8"/>
        <v>12</v>
      </c>
      <c r="I96" s="41">
        <f t="shared" si="8"/>
        <v>10</v>
      </c>
      <c r="J96" s="41">
        <f t="shared" si="8"/>
        <v>12</v>
      </c>
    </row>
    <row r="97" spans="2:10" ht="20.100000000000001" customHeight="1" x14ac:dyDescent="0.25">
      <c r="B97" s="36"/>
      <c r="C97" s="41"/>
      <c r="D97" s="41" t="s">
        <v>93</v>
      </c>
      <c r="E97" s="41" t="s">
        <v>93</v>
      </c>
      <c r="F97" s="41" t="s">
        <v>93</v>
      </c>
      <c r="G97" s="41" t="s">
        <v>93</v>
      </c>
      <c r="H97" s="41" t="s">
        <v>93</v>
      </c>
      <c r="I97" s="41" t="s">
        <v>93</v>
      </c>
      <c r="J97" s="41" t="s">
        <v>93</v>
      </c>
    </row>
    <row r="98" spans="2:10" ht="20.100000000000001" customHeight="1" x14ac:dyDescent="0.25">
      <c r="B98" s="36"/>
      <c r="C98" s="41" t="s">
        <v>12</v>
      </c>
      <c r="D98" s="41">
        <v>17</v>
      </c>
      <c r="E98" s="41">
        <v>13</v>
      </c>
      <c r="F98" s="41">
        <v>16</v>
      </c>
      <c r="G98" s="41">
        <v>17</v>
      </c>
      <c r="H98" s="41">
        <v>9</v>
      </c>
      <c r="I98" s="41">
        <v>9</v>
      </c>
      <c r="J98" s="41">
        <v>12</v>
      </c>
    </row>
    <row r="99" spans="2:10" ht="20.100000000000001" customHeight="1" x14ac:dyDescent="0.25">
      <c r="B99" s="36"/>
    </row>
    <row r="100" spans="2:10" ht="20.100000000000001" customHeight="1" x14ac:dyDescent="0.25">
      <c r="B100" s="13" t="s">
        <v>84</v>
      </c>
      <c r="C100" s="57">
        <f>SUM(B88:B94)</f>
        <v>20</v>
      </c>
    </row>
    <row r="103" spans="2:10" ht="20.100000000000001" customHeight="1" x14ac:dyDescent="0.25">
      <c r="B103" s="5" t="s">
        <v>113</v>
      </c>
    </row>
    <row r="104" spans="2:10" ht="20.100000000000001" customHeight="1" x14ac:dyDescent="0.25">
      <c r="B104" s="28" t="s">
        <v>84</v>
      </c>
      <c r="C104" s="58">
        <f>SUMPRODUCT(B107:B115,D107:D115)</f>
        <v>70000000</v>
      </c>
      <c r="D104" s="35"/>
      <c r="E104" s="38"/>
      <c r="F104" s="38"/>
    </row>
    <row r="105" spans="2:10" ht="20.100000000000001" customHeight="1" x14ac:dyDescent="0.25">
      <c r="B105" s="38"/>
      <c r="C105" s="38"/>
      <c r="D105" s="38"/>
      <c r="E105" s="38"/>
      <c r="F105" s="38"/>
    </row>
    <row r="106" spans="2:10" ht="20.100000000000001" customHeight="1" x14ac:dyDescent="0.25">
      <c r="B106" s="20" t="s">
        <v>97</v>
      </c>
      <c r="C106" s="13" t="s">
        <v>98</v>
      </c>
      <c r="D106" s="21" t="s">
        <v>99</v>
      </c>
      <c r="E106" s="22" t="s">
        <v>100</v>
      </c>
      <c r="F106" s="22" t="s">
        <v>101</v>
      </c>
    </row>
    <row r="107" spans="2:10" ht="20.100000000000001" customHeight="1" x14ac:dyDescent="0.25">
      <c r="B107" s="41">
        <v>1</v>
      </c>
      <c r="C107" s="41" t="s">
        <v>102</v>
      </c>
      <c r="D107" s="59">
        <v>14000000</v>
      </c>
      <c r="E107" s="59">
        <v>12000000</v>
      </c>
      <c r="F107" s="59">
        <v>3000000</v>
      </c>
    </row>
    <row r="108" spans="2:10" ht="20.100000000000001" customHeight="1" x14ac:dyDescent="0.25">
      <c r="B108" s="41">
        <v>0</v>
      </c>
      <c r="C108" s="41" t="s">
        <v>103</v>
      </c>
      <c r="D108" s="59">
        <v>17000000</v>
      </c>
      <c r="E108" s="59">
        <v>54000000</v>
      </c>
      <c r="F108" s="59">
        <v>7000000</v>
      </c>
    </row>
    <row r="109" spans="2:10" ht="20.100000000000001" customHeight="1" x14ac:dyDescent="0.25">
      <c r="B109" s="41">
        <v>1</v>
      </c>
      <c r="C109" s="41" t="s">
        <v>104</v>
      </c>
      <c r="D109" s="59">
        <v>17000000</v>
      </c>
      <c r="E109" s="59">
        <v>6000000</v>
      </c>
      <c r="F109" s="59">
        <v>6000000</v>
      </c>
    </row>
    <row r="110" spans="2:10" ht="20.100000000000001" customHeight="1" x14ac:dyDescent="0.25">
      <c r="B110" s="41">
        <v>1</v>
      </c>
      <c r="C110" s="41" t="s">
        <v>105</v>
      </c>
      <c r="D110" s="59">
        <v>15000000</v>
      </c>
      <c r="E110" s="59">
        <v>6000000</v>
      </c>
      <c r="F110" s="59">
        <v>2000000</v>
      </c>
    </row>
    <row r="111" spans="2:10" ht="20.100000000000001" customHeight="1" x14ac:dyDescent="0.25">
      <c r="B111" s="41">
        <v>0</v>
      </c>
      <c r="C111" s="41" t="s">
        <v>106</v>
      </c>
      <c r="D111" s="59">
        <v>40000000</v>
      </c>
      <c r="E111" s="59">
        <v>32000000</v>
      </c>
      <c r="F111" s="59">
        <v>35000000</v>
      </c>
    </row>
    <row r="112" spans="2:10" ht="20.100000000000001" customHeight="1" x14ac:dyDescent="0.25">
      <c r="B112" s="41">
        <v>1</v>
      </c>
      <c r="C112" s="41" t="s">
        <v>107</v>
      </c>
      <c r="D112" s="59">
        <v>12000000</v>
      </c>
      <c r="E112" s="59">
        <v>6000000</v>
      </c>
      <c r="F112" s="59">
        <v>6000000</v>
      </c>
    </row>
    <row r="113" spans="2:6" ht="20.100000000000001" customHeight="1" x14ac:dyDescent="0.25">
      <c r="B113" s="41">
        <v>0</v>
      </c>
      <c r="C113" s="41" t="s">
        <v>108</v>
      </c>
      <c r="D113" s="59">
        <v>14000000</v>
      </c>
      <c r="E113" s="59">
        <v>48000000</v>
      </c>
      <c r="F113" s="59">
        <v>4000000</v>
      </c>
    </row>
    <row r="114" spans="2:6" ht="20.100000000000001" customHeight="1" x14ac:dyDescent="0.25">
      <c r="B114" s="41">
        <v>0</v>
      </c>
      <c r="C114" s="41" t="s">
        <v>109</v>
      </c>
      <c r="D114" s="59">
        <v>10000000</v>
      </c>
      <c r="E114" s="59">
        <v>36000000</v>
      </c>
      <c r="F114" s="59">
        <v>3000000</v>
      </c>
    </row>
    <row r="115" spans="2:6" ht="20.100000000000001" customHeight="1" x14ac:dyDescent="0.25">
      <c r="B115" s="41">
        <v>1</v>
      </c>
      <c r="C115" s="41" t="s">
        <v>110</v>
      </c>
      <c r="D115" s="59">
        <v>12000000</v>
      </c>
      <c r="E115" s="59">
        <v>18000000</v>
      </c>
      <c r="F115" s="59">
        <v>3000000</v>
      </c>
    </row>
    <row r="116" spans="2:6" ht="20.100000000000001" customHeight="1" x14ac:dyDescent="0.25">
      <c r="B116" s="38"/>
      <c r="C116" s="38"/>
      <c r="D116" s="19"/>
      <c r="E116" s="19"/>
      <c r="F116" s="19"/>
    </row>
    <row r="117" spans="2:6" ht="20.100000000000001" customHeight="1" x14ac:dyDescent="0.25">
      <c r="B117" s="28" t="s">
        <v>111</v>
      </c>
      <c r="C117" s="59">
        <f>SUMPRODUCT($B$107:$B$115,E107:E115)</f>
        <v>48000000</v>
      </c>
      <c r="D117" s="59">
        <f>SUMPRODUCT($B$107:$B$115,F107:F115)</f>
        <v>20000000</v>
      </c>
      <c r="E117" s="35"/>
      <c r="F117" s="35"/>
    </row>
    <row r="118" spans="2:6" ht="20.100000000000001" customHeight="1" x14ac:dyDescent="0.25">
      <c r="B118" s="28" t="s">
        <v>112</v>
      </c>
      <c r="C118" s="59">
        <v>50000000</v>
      </c>
      <c r="D118" s="59">
        <v>20000000</v>
      </c>
      <c r="E118" s="35"/>
      <c r="F118" s="35"/>
    </row>
    <row r="121" spans="2:6" ht="20.100000000000001" customHeight="1" x14ac:dyDescent="0.25">
      <c r="B121" s="5" t="s">
        <v>129</v>
      </c>
    </row>
    <row r="122" spans="2:6" ht="20.100000000000001" customHeight="1" x14ac:dyDescent="0.25">
      <c r="B122" s="25" t="s">
        <v>115</v>
      </c>
      <c r="C122" s="51">
        <v>5000000</v>
      </c>
      <c r="D122" s="38"/>
      <c r="E122" s="38"/>
      <c r="F122" s="38"/>
    </row>
    <row r="123" spans="2:6" ht="20.100000000000001" customHeight="1" x14ac:dyDescent="0.25">
      <c r="B123" s="26"/>
      <c r="C123" s="60"/>
      <c r="D123" s="38"/>
      <c r="E123" s="38"/>
      <c r="F123" s="38"/>
    </row>
    <row r="124" spans="2:6" ht="20.100000000000001" customHeight="1" x14ac:dyDescent="0.25">
      <c r="B124" s="6" t="s">
        <v>116</v>
      </c>
      <c r="C124" s="30" t="s">
        <v>117</v>
      </c>
      <c r="D124" s="6" t="s">
        <v>118</v>
      </c>
      <c r="E124" s="30" t="s">
        <v>119</v>
      </c>
      <c r="F124" s="30" t="s">
        <v>120</v>
      </c>
    </row>
    <row r="125" spans="2:6" ht="20.100000000000001" customHeight="1" x14ac:dyDescent="0.25">
      <c r="B125" s="41" t="s">
        <v>121</v>
      </c>
      <c r="C125" s="61">
        <v>6.9000000000000006E-2</v>
      </c>
      <c r="D125" s="62">
        <v>173076.9255309611</v>
      </c>
      <c r="E125" s="62">
        <f>D125*C125</f>
        <v>11942.307861636316</v>
      </c>
      <c r="F125" s="61">
        <f>D125/$D$130</f>
        <v>3.4615385106192213E-2</v>
      </c>
    </row>
    <row r="126" spans="2:6" ht="20.100000000000001" customHeight="1" x14ac:dyDescent="0.25">
      <c r="B126" s="41" t="s">
        <v>122</v>
      </c>
      <c r="C126" s="61">
        <v>8.2500000000000004E-2</v>
      </c>
      <c r="D126" s="62">
        <v>576923.07446903875</v>
      </c>
      <c r="E126" s="62">
        <f>D126*C126</f>
        <v>47596.153643695696</v>
      </c>
      <c r="F126" s="61">
        <f t="shared" ref="F126:F130" si="9">D126/$D$130</f>
        <v>0.11538461489380773</v>
      </c>
    </row>
    <row r="127" spans="2:6" ht="20.100000000000001" customHeight="1" x14ac:dyDescent="0.25">
      <c r="B127" s="41" t="s">
        <v>123</v>
      </c>
      <c r="C127" s="61">
        <v>8.8999999999999996E-2</v>
      </c>
      <c r="D127" s="62">
        <v>2500000.0466394783</v>
      </c>
      <c r="E127" s="62">
        <f>D127*C127</f>
        <v>222500.00415091356</v>
      </c>
      <c r="F127" s="61">
        <f t="shared" si="9"/>
        <v>0.50000000932789557</v>
      </c>
    </row>
    <row r="128" spans="2:6" ht="20.100000000000001" customHeight="1" x14ac:dyDescent="0.25">
      <c r="B128" s="41" t="s">
        <v>124</v>
      </c>
      <c r="C128" s="61">
        <v>0.13</v>
      </c>
      <c r="D128" s="62">
        <v>1249999.9607956123</v>
      </c>
      <c r="E128" s="62">
        <f>D128*C128</f>
        <v>162499.99490342962</v>
      </c>
      <c r="F128" s="61">
        <f t="shared" si="9"/>
        <v>0.24999999215912241</v>
      </c>
    </row>
    <row r="129" spans="2:17" ht="20.100000000000001" customHeight="1" x14ac:dyDescent="0.25">
      <c r="B129" s="41" t="s">
        <v>125</v>
      </c>
      <c r="C129" s="61">
        <v>4.5999999999999999E-2</v>
      </c>
      <c r="D129" s="62">
        <v>499999.99256490998</v>
      </c>
      <c r="E129" s="62">
        <f>D129*C129</f>
        <v>22999.99965798586</v>
      </c>
      <c r="F129" s="61">
        <f t="shared" si="9"/>
        <v>9.9999998512981983E-2</v>
      </c>
    </row>
    <row r="130" spans="2:17" ht="20.100000000000001" customHeight="1" x14ac:dyDescent="0.25">
      <c r="B130" s="23" t="s">
        <v>126</v>
      </c>
      <c r="C130" s="61"/>
      <c r="D130" s="62">
        <f>SUM(D125:D129)</f>
        <v>5000000.0000000009</v>
      </c>
      <c r="E130" s="62">
        <f>SUM(E125:E129)</f>
        <v>467538.46021766111</v>
      </c>
      <c r="F130" s="61">
        <f t="shared" si="9"/>
        <v>1</v>
      </c>
    </row>
    <row r="131" spans="2:17" ht="20.100000000000001" customHeight="1" x14ac:dyDescent="0.25">
      <c r="B131" s="38"/>
      <c r="C131" s="38"/>
      <c r="D131" s="38"/>
      <c r="E131" s="38"/>
      <c r="F131" s="38"/>
    </row>
    <row r="132" spans="2:17" ht="20.100000000000001" customHeight="1" x14ac:dyDescent="0.25">
      <c r="B132" s="25" t="s">
        <v>127</v>
      </c>
      <c r="C132" s="24">
        <f>E130/$C$122</f>
        <v>9.3507692043532223E-2</v>
      </c>
      <c r="E132" s="25" t="s">
        <v>128</v>
      </c>
      <c r="F132" s="24">
        <f>F125+F126</f>
        <v>0.14999999999999994</v>
      </c>
    </row>
    <row r="133" spans="2:17" ht="20.100000000000001" customHeight="1" x14ac:dyDescent="0.25">
      <c r="B133" s="38"/>
      <c r="C133" s="38"/>
      <c r="D133" s="38"/>
      <c r="E133" s="38"/>
      <c r="F133" s="38"/>
    </row>
    <row r="134" spans="2:17" ht="20.100000000000001" customHeight="1" x14ac:dyDescent="0.25">
      <c r="B134" s="38"/>
      <c r="C134" s="38"/>
      <c r="F134" s="38"/>
    </row>
    <row r="137" spans="2:17" ht="20.100000000000001" customHeight="1" x14ac:dyDescent="0.25">
      <c r="B137" s="5" t="s">
        <v>139</v>
      </c>
    </row>
    <row r="138" spans="2:17" ht="20.100000000000001" customHeight="1" x14ac:dyDescent="0.25">
      <c r="B138" s="63"/>
      <c r="C138" s="35"/>
      <c r="D138" s="67" t="s">
        <v>131</v>
      </c>
      <c r="E138" s="68"/>
      <c r="F138" s="68"/>
      <c r="G138" s="69"/>
      <c r="H138" s="70" t="s">
        <v>132</v>
      </c>
      <c r="I138" s="71"/>
      <c r="J138" s="71"/>
      <c r="K138" s="72"/>
      <c r="L138" s="35"/>
      <c r="M138" s="35"/>
      <c r="N138" s="35"/>
      <c r="O138" s="35"/>
      <c r="P138" s="35"/>
      <c r="Q138" s="35"/>
    </row>
    <row r="139" spans="2:17" ht="20.100000000000001" customHeight="1" x14ac:dyDescent="0.25">
      <c r="B139" s="27" t="s">
        <v>133</v>
      </c>
      <c r="C139" s="27" t="s">
        <v>134</v>
      </c>
      <c r="D139" s="27">
        <v>1</v>
      </c>
      <c r="E139" s="27">
        <v>2</v>
      </c>
      <c r="F139" s="27">
        <v>3</v>
      </c>
      <c r="G139" s="27">
        <v>4</v>
      </c>
      <c r="H139" s="27">
        <v>1</v>
      </c>
      <c r="I139" s="27">
        <v>2</v>
      </c>
      <c r="J139" s="27">
        <v>3</v>
      </c>
      <c r="K139" s="27">
        <v>4</v>
      </c>
      <c r="L139" s="27" t="s">
        <v>131</v>
      </c>
      <c r="M139" s="27" t="s">
        <v>132</v>
      </c>
      <c r="N139" s="35"/>
      <c r="O139" s="35"/>
      <c r="P139" s="35"/>
      <c r="Q139" s="35"/>
    </row>
    <row r="140" spans="2:17" ht="20.100000000000001" customHeight="1" x14ac:dyDescent="0.25">
      <c r="B140" s="43">
        <v>1</v>
      </c>
      <c r="C140" s="43">
        <v>1</v>
      </c>
      <c r="D140" s="43">
        <v>9</v>
      </c>
      <c r="E140" s="43">
        <v>8</v>
      </c>
      <c r="F140" s="43">
        <v>6</v>
      </c>
      <c r="G140" s="43">
        <v>8</v>
      </c>
      <c r="H140" s="43">
        <v>9</v>
      </c>
      <c r="I140" s="43">
        <v>2</v>
      </c>
      <c r="J140" s="43">
        <v>7</v>
      </c>
      <c r="K140" s="43">
        <v>7</v>
      </c>
      <c r="L140" s="43">
        <f>HLOOKUP($C140,$D$139:$G140,$B140+1,FALSE)</f>
        <v>9</v>
      </c>
      <c r="M140" s="43">
        <f>HLOOKUP($C140,$H$139:$K140,$B140+1,FALSE)</f>
        <v>9</v>
      </c>
      <c r="N140" s="35"/>
      <c r="O140" s="29" t="s">
        <v>134</v>
      </c>
      <c r="P140" s="29" t="s">
        <v>135</v>
      </c>
      <c r="Q140" s="64"/>
    </row>
    <row r="141" spans="2:17" ht="20.100000000000001" customHeight="1" x14ac:dyDescent="0.25">
      <c r="B141" s="43">
        <v>2</v>
      </c>
      <c r="C141" s="43">
        <v>1</v>
      </c>
      <c r="D141" s="43">
        <v>10</v>
      </c>
      <c r="E141" s="43">
        <v>0</v>
      </c>
      <c r="F141" s="43">
        <v>5</v>
      </c>
      <c r="G141" s="43">
        <v>6</v>
      </c>
      <c r="H141" s="43">
        <v>9</v>
      </c>
      <c r="I141" s="43">
        <v>6</v>
      </c>
      <c r="J141" s="43">
        <v>7</v>
      </c>
      <c r="K141" s="43">
        <v>4</v>
      </c>
      <c r="L141" s="43">
        <f>HLOOKUP($C141,$D$139:$G141,$B141+1,FALSE)</f>
        <v>10</v>
      </c>
      <c r="M141" s="43">
        <f>HLOOKUP($C141,$H$139:$K141,$B141+1,FALSE)</f>
        <v>9</v>
      </c>
      <c r="N141" s="35"/>
      <c r="O141" s="43">
        <v>1</v>
      </c>
      <c r="P141" s="43">
        <f>COUNTIF($C$140:$C$179,$O141)</f>
        <v>12</v>
      </c>
      <c r="Q141" s="43">
        <f>IF(OR(P141&lt;8,P141&gt;12),1,0)</f>
        <v>0</v>
      </c>
    </row>
    <row r="142" spans="2:17" ht="20.100000000000001" customHeight="1" x14ac:dyDescent="0.25">
      <c r="B142" s="43">
        <v>3</v>
      </c>
      <c r="C142" s="43">
        <v>2</v>
      </c>
      <c r="D142" s="43">
        <v>5</v>
      </c>
      <c r="E142" s="43">
        <v>8</v>
      </c>
      <c r="F142" s="43">
        <v>10</v>
      </c>
      <c r="G142" s="43">
        <v>5</v>
      </c>
      <c r="H142" s="43">
        <v>7</v>
      </c>
      <c r="I142" s="43">
        <v>7</v>
      </c>
      <c r="J142" s="43">
        <v>7</v>
      </c>
      <c r="K142" s="43">
        <v>3</v>
      </c>
      <c r="L142" s="43">
        <f>HLOOKUP($C142,$D$139:$G142,$B142+1,FALSE)</f>
        <v>8</v>
      </c>
      <c r="M142" s="43">
        <f>HLOOKUP($C142,$H$139:$K142,$B142+1,FALSE)</f>
        <v>7</v>
      </c>
      <c r="N142" s="35"/>
      <c r="O142" s="43">
        <v>2</v>
      </c>
      <c r="P142" s="43">
        <f t="shared" ref="P142:P144" si="10">COUNTIF($C$140:$C$179,$O142)</f>
        <v>10</v>
      </c>
      <c r="Q142" s="43">
        <f>IF(OR(P142&lt;8,P142&gt;12),1,0)</f>
        <v>0</v>
      </c>
    </row>
    <row r="143" spans="2:17" ht="20.100000000000001" customHeight="1" x14ac:dyDescent="0.25">
      <c r="B143" s="43">
        <v>4</v>
      </c>
      <c r="C143" s="43">
        <v>1</v>
      </c>
      <c r="D143" s="43">
        <v>4</v>
      </c>
      <c r="E143" s="43">
        <v>0</v>
      </c>
      <c r="F143" s="43">
        <v>5</v>
      </c>
      <c r="G143" s="43">
        <v>2</v>
      </c>
      <c r="H143" s="43">
        <v>9</v>
      </c>
      <c r="I143" s="43">
        <v>1</v>
      </c>
      <c r="J143" s="43">
        <v>0</v>
      </c>
      <c r="K143" s="43">
        <v>3</v>
      </c>
      <c r="L143" s="43">
        <f>HLOOKUP($C143,$D$139:$G143,$B143+1,FALSE)</f>
        <v>4</v>
      </c>
      <c r="M143" s="43">
        <f>HLOOKUP($C143,$H$139:$K143,$B143+1,FALSE)</f>
        <v>9</v>
      </c>
      <c r="N143" s="35"/>
      <c r="O143" s="43">
        <v>3</v>
      </c>
      <c r="P143" s="43">
        <f t="shared" si="10"/>
        <v>9</v>
      </c>
      <c r="Q143" s="43">
        <f>IF(OR(P143&lt;8,P143&gt;12),1,0)</f>
        <v>0</v>
      </c>
    </row>
    <row r="144" spans="2:17" ht="20.100000000000001" customHeight="1" x14ac:dyDescent="0.25">
      <c r="B144" s="43">
        <v>5</v>
      </c>
      <c r="C144" s="43">
        <v>1</v>
      </c>
      <c r="D144" s="43">
        <v>9</v>
      </c>
      <c r="E144" s="43">
        <v>10</v>
      </c>
      <c r="F144" s="43">
        <v>4</v>
      </c>
      <c r="G144" s="43">
        <v>5</v>
      </c>
      <c r="H144" s="43">
        <v>9</v>
      </c>
      <c r="I144" s="43">
        <v>8</v>
      </c>
      <c r="J144" s="43">
        <v>8</v>
      </c>
      <c r="K144" s="43">
        <v>3</v>
      </c>
      <c r="L144" s="43">
        <f>HLOOKUP($C144,$D$139:$G144,$B144+1,FALSE)</f>
        <v>9</v>
      </c>
      <c r="M144" s="43">
        <f>HLOOKUP($C144,$H$139:$K144,$B144+1,FALSE)</f>
        <v>9</v>
      </c>
      <c r="N144" s="35"/>
      <c r="O144" s="43">
        <v>4</v>
      </c>
      <c r="P144" s="43">
        <f t="shared" si="10"/>
        <v>9</v>
      </c>
      <c r="Q144" s="43">
        <f>IF(OR(P144&lt;8,P144&gt;12),1,0)</f>
        <v>0</v>
      </c>
    </row>
    <row r="145" spans="2:17" ht="20.100000000000001" customHeight="1" x14ac:dyDescent="0.25">
      <c r="B145" s="43">
        <v>6</v>
      </c>
      <c r="C145" s="43">
        <v>1</v>
      </c>
      <c r="D145" s="43">
        <v>5</v>
      </c>
      <c r="E145" s="43">
        <v>2</v>
      </c>
      <c r="F145" s="43">
        <v>7</v>
      </c>
      <c r="G145" s="43">
        <v>2</v>
      </c>
      <c r="H145" s="43">
        <v>9</v>
      </c>
      <c r="I145" s="43">
        <v>1</v>
      </c>
      <c r="J145" s="43">
        <v>0</v>
      </c>
      <c r="K145" s="43">
        <v>3</v>
      </c>
      <c r="L145" s="43">
        <f>HLOOKUP($C145,$D$139:$G145,$B145+1,FALSE)</f>
        <v>5</v>
      </c>
      <c r="M145" s="43">
        <f>HLOOKUP($C145,$H$139:$K145,$B145+1,FALSE)</f>
        <v>9</v>
      </c>
      <c r="N145" s="35"/>
      <c r="O145" s="38"/>
      <c r="P145" s="38"/>
      <c r="Q145" s="38"/>
    </row>
    <row r="146" spans="2:17" ht="20.100000000000001" customHeight="1" x14ac:dyDescent="0.25">
      <c r="B146" s="43">
        <v>7</v>
      </c>
      <c r="C146" s="43">
        <v>1</v>
      </c>
      <c r="D146" s="43">
        <v>8</v>
      </c>
      <c r="E146" s="43">
        <v>3</v>
      </c>
      <c r="F146" s="43">
        <v>1</v>
      </c>
      <c r="G146" s="43">
        <v>5</v>
      </c>
      <c r="H146" s="43">
        <v>9</v>
      </c>
      <c r="I146" s="43">
        <v>8</v>
      </c>
      <c r="J146" s="43">
        <v>8</v>
      </c>
      <c r="K146" s="43">
        <v>3</v>
      </c>
      <c r="L146" s="43">
        <f>HLOOKUP($C146,$D$139:$G146,$B146+1,FALSE)</f>
        <v>8</v>
      </c>
      <c r="M146" s="43">
        <f>HLOOKUP($C146,$H$139:$K146,$B146+1,FALSE)</f>
        <v>9</v>
      </c>
      <c r="N146" s="35"/>
      <c r="O146" s="29" t="s">
        <v>136</v>
      </c>
      <c r="P146" s="65">
        <f>SUM(M140:M179)</f>
        <v>324</v>
      </c>
      <c r="Q146" s="38"/>
    </row>
    <row r="147" spans="2:17" ht="20.100000000000001" customHeight="1" x14ac:dyDescent="0.25">
      <c r="B147" s="43">
        <v>8</v>
      </c>
      <c r="C147" s="43">
        <v>2</v>
      </c>
      <c r="D147" s="43">
        <v>2</v>
      </c>
      <c r="E147" s="43">
        <v>7</v>
      </c>
      <c r="F147" s="43">
        <v>9</v>
      </c>
      <c r="G147" s="43">
        <v>3</v>
      </c>
      <c r="H147" s="43">
        <v>2</v>
      </c>
      <c r="I147" s="43">
        <v>8</v>
      </c>
      <c r="J147" s="43">
        <v>1</v>
      </c>
      <c r="K147" s="43">
        <v>5</v>
      </c>
      <c r="L147" s="43">
        <f>HLOOKUP($C147,$D$139:$G147,$B147+1,FALSE)</f>
        <v>7</v>
      </c>
      <c r="M147" s="43">
        <f>HLOOKUP($C147,$H$139:$K147,$B147+1,FALSE)</f>
        <v>8</v>
      </c>
      <c r="N147" s="35"/>
      <c r="O147" s="35"/>
      <c r="P147" s="35"/>
      <c r="Q147" s="35"/>
    </row>
    <row r="148" spans="2:17" ht="20.100000000000001" customHeight="1" x14ac:dyDescent="0.25">
      <c r="B148" s="43">
        <v>9</v>
      </c>
      <c r="C148" s="43">
        <v>2</v>
      </c>
      <c r="D148" s="43">
        <v>8</v>
      </c>
      <c r="E148" s="43">
        <v>0</v>
      </c>
      <c r="F148" s="43">
        <v>6</v>
      </c>
      <c r="G148" s="43">
        <v>2</v>
      </c>
      <c r="H148" s="43">
        <v>7</v>
      </c>
      <c r="I148" s="43">
        <v>8</v>
      </c>
      <c r="J148" s="43">
        <v>2</v>
      </c>
      <c r="K148" s="43">
        <v>2</v>
      </c>
      <c r="L148" s="43">
        <f>HLOOKUP($C148,$D$139:$G148,$B148+1,FALSE)</f>
        <v>0</v>
      </c>
      <c r="M148" s="43">
        <f>HLOOKUP($C148,$H$139:$K148,$B148+1,FALSE)</f>
        <v>8</v>
      </c>
      <c r="N148" s="35"/>
      <c r="O148" s="35"/>
      <c r="P148" s="35"/>
      <c r="Q148" s="35"/>
    </row>
    <row r="149" spans="2:17" ht="20.100000000000001" customHeight="1" x14ac:dyDescent="0.25">
      <c r="B149" s="43">
        <v>10</v>
      </c>
      <c r="C149" s="43">
        <v>1</v>
      </c>
      <c r="D149" s="43">
        <v>7</v>
      </c>
      <c r="E149" s="43">
        <v>1</v>
      </c>
      <c r="F149" s="43">
        <v>1</v>
      </c>
      <c r="G149" s="43">
        <v>2</v>
      </c>
      <c r="H149" s="43">
        <v>8</v>
      </c>
      <c r="I149" s="43">
        <v>3</v>
      </c>
      <c r="J149" s="43">
        <v>1</v>
      </c>
      <c r="K149" s="43">
        <v>6</v>
      </c>
      <c r="L149" s="43">
        <f>HLOOKUP($C149,$D$139:$G149,$B149+1,FALSE)</f>
        <v>7</v>
      </c>
      <c r="M149" s="43">
        <f>HLOOKUP($C149,$H$139:$K149,$B149+1,FALSE)</f>
        <v>8</v>
      </c>
      <c r="N149" s="35"/>
      <c r="O149" s="35"/>
      <c r="P149" s="35"/>
      <c r="Q149" s="35"/>
    </row>
    <row r="150" spans="2:17" ht="20.100000000000001" customHeight="1" x14ac:dyDescent="0.25">
      <c r="B150" s="43">
        <v>11</v>
      </c>
      <c r="C150" s="43">
        <v>3</v>
      </c>
      <c r="D150" s="43">
        <v>8</v>
      </c>
      <c r="E150" s="43">
        <v>7</v>
      </c>
      <c r="F150" s="43">
        <v>6</v>
      </c>
      <c r="G150" s="43">
        <v>3</v>
      </c>
      <c r="H150" s="43">
        <v>4</v>
      </c>
      <c r="I150" s="43">
        <v>3</v>
      </c>
      <c r="J150" s="43">
        <v>4</v>
      </c>
      <c r="K150" s="43">
        <v>1</v>
      </c>
      <c r="L150" s="43">
        <f>HLOOKUP($C150,$D$139:$G150,$B150+1,FALSE)</f>
        <v>6</v>
      </c>
      <c r="M150" s="43">
        <f>HLOOKUP($C150,$H$139:$K150,$B150+1,FALSE)</f>
        <v>4</v>
      </c>
      <c r="N150" s="35"/>
      <c r="O150" s="35"/>
      <c r="P150" s="35"/>
      <c r="Q150" s="35"/>
    </row>
    <row r="151" spans="2:17" ht="20.100000000000001" customHeight="1" x14ac:dyDescent="0.25">
      <c r="B151" s="43">
        <v>12</v>
      </c>
      <c r="C151" s="43">
        <v>3</v>
      </c>
      <c r="D151" s="43">
        <v>0</v>
      </c>
      <c r="E151" s="43">
        <v>0</v>
      </c>
      <c r="F151" s="43">
        <v>1</v>
      </c>
      <c r="G151" s="43">
        <v>8</v>
      </c>
      <c r="H151" s="43">
        <v>4</v>
      </c>
      <c r="I151" s="43">
        <v>1</v>
      </c>
      <c r="J151" s="43">
        <v>5</v>
      </c>
      <c r="K151" s="43">
        <v>4</v>
      </c>
      <c r="L151" s="43">
        <f>HLOOKUP($C151,$D$139:$G151,$B151+1,FALSE)</f>
        <v>1</v>
      </c>
      <c r="M151" s="43">
        <f>HLOOKUP($C151,$H$139:$K151,$B151+1,FALSE)</f>
        <v>5</v>
      </c>
      <c r="N151" s="35"/>
      <c r="O151" s="35"/>
      <c r="P151" s="35"/>
      <c r="Q151" s="35"/>
    </row>
    <row r="152" spans="2:17" ht="20.100000000000001" customHeight="1" x14ac:dyDescent="0.25">
      <c r="B152" s="43">
        <v>13</v>
      </c>
      <c r="C152" s="43">
        <v>3</v>
      </c>
      <c r="D152" s="43">
        <v>9</v>
      </c>
      <c r="E152" s="43">
        <v>2</v>
      </c>
      <c r="F152" s="43">
        <v>6</v>
      </c>
      <c r="G152" s="43">
        <v>6</v>
      </c>
      <c r="H152" s="43">
        <v>9</v>
      </c>
      <c r="I152" s="43">
        <v>0</v>
      </c>
      <c r="J152" s="43">
        <v>9</v>
      </c>
      <c r="K152" s="43">
        <v>3</v>
      </c>
      <c r="L152" s="43">
        <f>HLOOKUP($C152,$D$139:$G152,$B152+1,FALSE)</f>
        <v>6</v>
      </c>
      <c r="M152" s="43">
        <f>HLOOKUP($C152,$H$139:$K152,$B152+1,FALSE)</f>
        <v>9</v>
      </c>
      <c r="N152" s="35"/>
      <c r="O152" s="35"/>
      <c r="P152" s="35"/>
      <c r="Q152" s="35"/>
    </row>
    <row r="153" spans="2:17" ht="20.100000000000001" customHeight="1" x14ac:dyDescent="0.25">
      <c r="B153" s="43">
        <v>14</v>
      </c>
      <c r="C153" s="43">
        <v>1</v>
      </c>
      <c r="D153" s="43">
        <v>9</v>
      </c>
      <c r="E153" s="43">
        <v>3</v>
      </c>
      <c r="F153" s="43">
        <v>1</v>
      </c>
      <c r="G153" s="43">
        <v>2</v>
      </c>
      <c r="H153" s="43">
        <v>5</v>
      </c>
      <c r="I153" s="43">
        <v>2</v>
      </c>
      <c r="J153" s="43">
        <v>3</v>
      </c>
      <c r="K153" s="43">
        <v>1</v>
      </c>
      <c r="L153" s="43">
        <f>HLOOKUP($C153,$D$139:$G153,$B153+1,FALSE)</f>
        <v>9</v>
      </c>
      <c r="M153" s="43">
        <f>HLOOKUP($C153,$H$139:$K153,$B153+1,FALSE)</f>
        <v>5</v>
      </c>
      <c r="N153" s="35"/>
      <c r="O153" s="35"/>
      <c r="P153" s="35"/>
      <c r="Q153" s="35"/>
    </row>
    <row r="154" spans="2:17" ht="20.100000000000001" customHeight="1" x14ac:dyDescent="0.25">
      <c r="B154" s="43">
        <v>15</v>
      </c>
      <c r="C154" s="43">
        <v>4</v>
      </c>
      <c r="D154" s="43">
        <v>1</v>
      </c>
      <c r="E154" s="43">
        <v>6</v>
      </c>
      <c r="F154" s="43">
        <v>5</v>
      </c>
      <c r="G154" s="43">
        <v>4</v>
      </c>
      <c r="H154" s="43">
        <v>7</v>
      </c>
      <c r="I154" s="43">
        <v>0</v>
      </c>
      <c r="J154" s="43">
        <v>7</v>
      </c>
      <c r="K154" s="43">
        <v>8</v>
      </c>
      <c r="L154" s="43">
        <f>HLOOKUP($C154,$D$139:$G154,$B154+1,FALSE)</f>
        <v>4</v>
      </c>
      <c r="M154" s="43">
        <f>HLOOKUP($C154,$H$139:$K154,$B154+1,FALSE)</f>
        <v>8</v>
      </c>
      <c r="N154" s="35"/>
      <c r="O154" s="35"/>
      <c r="P154" s="35"/>
      <c r="Q154" s="35"/>
    </row>
    <row r="155" spans="2:17" ht="20.100000000000001" customHeight="1" x14ac:dyDescent="0.25">
      <c r="B155" s="43">
        <v>16</v>
      </c>
      <c r="C155" s="43">
        <v>4</v>
      </c>
      <c r="D155" s="43">
        <v>9</v>
      </c>
      <c r="E155" s="43">
        <v>0</v>
      </c>
      <c r="F155" s="43">
        <v>2</v>
      </c>
      <c r="G155" s="43">
        <v>7</v>
      </c>
      <c r="H155" s="43">
        <v>1</v>
      </c>
      <c r="I155" s="43">
        <v>1</v>
      </c>
      <c r="J155" s="43">
        <v>2</v>
      </c>
      <c r="K155" s="43">
        <v>10</v>
      </c>
      <c r="L155" s="43">
        <f>HLOOKUP($C155,$D$139:$G155,$B155+1,FALSE)</f>
        <v>7</v>
      </c>
      <c r="M155" s="43">
        <f>HLOOKUP($C155,$H$139:$K155,$B155+1,FALSE)</f>
        <v>10</v>
      </c>
      <c r="N155" s="35"/>
      <c r="O155" s="35"/>
      <c r="P155" s="35"/>
      <c r="Q155" s="35"/>
    </row>
    <row r="156" spans="2:17" ht="20.100000000000001" customHeight="1" x14ac:dyDescent="0.25">
      <c r="B156" s="43">
        <v>17</v>
      </c>
      <c r="C156" s="43">
        <v>4</v>
      </c>
      <c r="D156" s="43">
        <v>8</v>
      </c>
      <c r="E156" s="43">
        <v>7</v>
      </c>
      <c r="F156" s="43">
        <v>8</v>
      </c>
      <c r="G156" s="43">
        <v>4</v>
      </c>
      <c r="H156" s="43">
        <v>8</v>
      </c>
      <c r="I156" s="43">
        <v>8</v>
      </c>
      <c r="J156" s="43">
        <v>6</v>
      </c>
      <c r="K156" s="43">
        <v>8</v>
      </c>
      <c r="L156" s="43">
        <f>HLOOKUP($C156,$D$139:$G156,$B156+1,FALSE)</f>
        <v>4</v>
      </c>
      <c r="M156" s="43">
        <f>HLOOKUP($C156,$H$139:$K156,$B156+1,FALSE)</f>
        <v>8</v>
      </c>
      <c r="N156" s="35"/>
      <c r="O156" s="35"/>
      <c r="P156" s="35"/>
      <c r="Q156" s="35"/>
    </row>
    <row r="157" spans="2:17" ht="20.100000000000001" customHeight="1" x14ac:dyDescent="0.25">
      <c r="B157" s="43">
        <v>18</v>
      </c>
      <c r="C157" s="43">
        <v>3</v>
      </c>
      <c r="D157" s="43">
        <v>6</v>
      </c>
      <c r="E157" s="43">
        <v>4</v>
      </c>
      <c r="F157" s="43">
        <v>3</v>
      </c>
      <c r="G157" s="43">
        <v>5</v>
      </c>
      <c r="H157" s="43">
        <v>5</v>
      </c>
      <c r="I157" s="43">
        <v>7</v>
      </c>
      <c r="J157" s="43">
        <v>8</v>
      </c>
      <c r="K157" s="43">
        <v>8</v>
      </c>
      <c r="L157" s="43">
        <f>HLOOKUP($C157,$D$139:$G157,$B157+1,FALSE)</f>
        <v>3</v>
      </c>
      <c r="M157" s="43">
        <f>HLOOKUP($C157,$H$139:$K157,$B157+1,FALSE)</f>
        <v>8</v>
      </c>
      <c r="N157" s="35"/>
      <c r="O157" s="35"/>
      <c r="P157" s="35"/>
      <c r="Q157" s="35"/>
    </row>
    <row r="158" spans="2:17" ht="20.100000000000001" customHeight="1" x14ac:dyDescent="0.25">
      <c r="B158" s="43">
        <v>19</v>
      </c>
      <c r="C158" s="43">
        <v>2</v>
      </c>
      <c r="D158" s="43">
        <v>6</v>
      </c>
      <c r="E158" s="43">
        <v>9</v>
      </c>
      <c r="F158" s="43">
        <v>3</v>
      </c>
      <c r="G158" s="43">
        <v>0</v>
      </c>
      <c r="H158" s="43">
        <v>5</v>
      </c>
      <c r="I158" s="43">
        <v>7</v>
      </c>
      <c r="J158" s="43">
        <v>2</v>
      </c>
      <c r="K158" s="43">
        <v>4</v>
      </c>
      <c r="L158" s="43">
        <f>HLOOKUP($C158,$D$139:$G158,$B158+1,FALSE)</f>
        <v>9</v>
      </c>
      <c r="M158" s="43">
        <f>HLOOKUP($C158,$H$139:$K158,$B158+1,FALSE)</f>
        <v>7</v>
      </c>
      <c r="N158" s="35"/>
      <c r="O158" s="35"/>
      <c r="P158" s="35"/>
      <c r="Q158" s="35"/>
    </row>
    <row r="159" spans="2:17" ht="20.100000000000001" customHeight="1" x14ac:dyDescent="0.25">
      <c r="B159" s="43">
        <v>20</v>
      </c>
      <c r="C159" s="43">
        <v>1</v>
      </c>
      <c r="D159" s="43">
        <v>3</v>
      </c>
      <c r="E159" s="43">
        <v>4</v>
      </c>
      <c r="F159" s="43">
        <v>3</v>
      </c>
      <c r="G159" s="43">
        <v>2</v>
      </c>
      <c r="H159" s="43">
        <v>9</v>
      </c>
      <c r="I159" s="43">
        <v>7</v>
      </c>
      <c r="J159" s="43">
        <v>1</v>
      </c>
      <c r="K159" s="43">
        <v>1</v>
      </c>
      <c r="L159" s="43">
        <f>HLOOKUP($C159,$D$139:$G159,$B159+1,FALSE)</f>
        <v>3</v>
      </c>
      <c r="M159" s="43">
        <f>HLOOKUP($C159,$H$139:$K159,$B159+1,FALSE)</f>
        <v>9</v>
      </c>
      <c r="N159" s="35"/>
      <c r="O159" s="35"/>
      <c r="P159" s="35"/>
      <c r="Q159" s="35"/>
    </row>
    <row r="160" spans="2:17" ht="20.100000000000001" customHeight="1" x14ac:dyDescent="0.25">
      <c r="B160" s="43">
        <v>21</v>
      </c>
      <c r="C160" s="43">
        <v>3</v>
      </c>
      <c r="D160" s="43">
        <v>4</v>
      </c>
      <c r="E160" s="43">
        <v>5</v>
      </c>
      <c r="F160" s="43">
        <v>8</v>
      </c>
      <c r="G160" s="43">
        <v>3</v>
      </c>
      <c r="H160" s="43">
        <v>9</v>
      </c>
      <c r="I160" s="43">
        <v>4</v>
      </c>
      <c r="J160" s="43">
        <v>9</v>
      </c>
      <c r="K160" s="43">
        <v>8</v>
      </c>
      <c r="L160" s="43">
        <f>HLOOKUP($C160,$D$139:$G160,$B160+1,FALSE)</f>
        <v>8</v>
      </c>
      <c r="M160" s="43">
        <f>HLOOKUP($C160,$H$139:$K160,$B160+1,FALSE)</f>
        <v>9</v>
      </c>
      <c r="N160" s="35"/>
      <c r="O160" s="35"/>
      <c r="P160" s="35"/>
      <c r="Q160" s="35"/>
    </row>
    <row r="161" spans="2:17" ht="20.100000000000001" customHeight="1" x14ac:dyDescent="0.25">
      <c r="B161" s="43">
        <v>22</v>
      </c>
      <c r="C161" s="43">
        <v>1</v>
      </c>
      <c r="D161" s="43">
        <v>8</v>
      </c>
      <c r="E161" s="43">
        <v>0</v>
      </c>
      <c r="F161" s="43">
        <v>4</v>
      </c>
      <c r="G161" s="43">
        <v>6</v>
      </c>
      <c r="H161" s="43">
        <v>8</v>
      </c>
      <c r="I161" s="43">
        <v>5</v>
      </c>
      <c r="J161" s="43">
        <v>7</v>
      </c>
      <c r="K161" s="43">
        <v>5</v>
      </c>
      <c r="L161" s="43">
        <f>HLOOKUP($C161,$D$139:$G161,$B161+1,FALSE)</f>
        <v>8</v>
      </c>
      <c r="M161" s="43">
        <f>HLOOKUP($C161,$H$139:$K161,$B161+1,FALSE)</f>
        <v>8</v>
      </c>
      <c r="N161" s="35"/>
      <c r="O161" s="35"/>
      <c r="P161" s="35"/>
      <c r="Q161" s="35"/>
    </row>
    <row r="162" spans="2:17" ht="20.100000000000001" customHeight="1" x14ac:dyDescent="0.25">
      <c r="B162" s="43">
        <v>23</v>
      </c>
      <c r="C162" s="43">
        <v>4</v>
      </c>
      <c r="D162" s="43">
        <v>7</v>
      </c>
      <c r="E162" s="43">
        <v>1</v>
      </c>
      <c r="F162" s="43">
        <v>6</v>
      </c>
      <c r="G162" s="43">
        <v>3</v>
      </c>
      <c r="H162" s="43">
        <v>2</v>
      </c>
      <c r="I162" s="43">
        <v>1</v>
      </c>
      <c r="J162" s="43">
        <v>4</v>
      </c>
      <c r="K162" s="43">
        <v>9</v>
      </c>
      <c r="L162" s="43">
        <f>HLOOKUP($C162,$D$139:$G162,$B162+1,FALSE)</f>
        <v>3</v>
      </c>
      <c r="M162" s="43">
        <f>HLOOKUP($C162,$H$139:$K162,$B162+1,FALSE)</f>
        <v>9</v>
      </c>
      <c r="N162" s="35"/>
      <c r="O162" s="35"/>
      <c r="P162" s="35"/>
      <c r="Q162" s="35"/>
    </row>
    <row r="163" spans="2:17" ht="20.100000000000001" customHeight="1" x14ac:dyDescent="0.25">
      <c r="B163" s="43">
        <v>24</v>
      </c>
      <c r="C163" s="43">
        <v>2</v>
      </c>
      <c r="D163" s="43">
        <v>8</v>
      </c>
      <c r="E163" s="43">
        <v>7</v>
      </c>
      <c r="F163" s="43">
        <v>7</v>
      </c>
      <c r="G163" s="43">
        <v>5</v>
      </c>
      <c r="H163" s="43">
        <v>8</v>
      </c>
      <c r="I163" s="43">
        <v>9</v>
      </c>
      <c r="J163" s="43">
        <v>2</v>
      </c>
      <c r="K163" s="43">
        <v>5</v>
      </c>
      <c r="L163" s="43">
        <f>HLOOKUP($C163,$D$139:$G163,$B163+1,FALSE)</f>
        <v>7</v>
      </c>
      <c r="M163" s="43">
        <f>HLOOKUP($C163,$H$139:$K163,$B163+1,FALSE)</f>
        <v>9</v>
      </c>
      <c r="N163" s="35"/>
      <c r="O163" s="35"/>
      <c r="P163" s="35"/>
      <c r="Q163" s="35"/>
    </row>
    <row r="164" spans="2:17" ht="20.100000000000001" customHeight="1" x14ac:dyDescent="0.25">
      <c r="B164" s="43">
        <v>25</v>
      </c>
      <c r="C164" s="43">
        <v>2</v>
      </c>
      <c r="D164" s="43">
        <v>5</v>
      </c>
      <c r="E164" s="43">
        <v>4</v>
      </c>
      <c r="F164" s="43">
        <v>9</v>
      </c>
      <c r="G164" s="43">
        <v>0</v>
      </c>
      <c r="H164" s="43">
        <v>5</v>
      </c>
      <c r="I164" s="43">
        <v>7</v>
      </c>
      <c r="J164" s="43">
        <v>6</v>
      </c>
      <c r="K164" s="43">
        <v>5</v>
      </c>
      <c r="L164" s="43">
        <f>HLOOKUP($C164,$D$139:$G164,$B164+1,FALSE)</f>
        <v>4</v>
      </c>
      <c r="M164" s="43">
        <f>HLOOKUP($C164,$H$139:$K164,$B164+1,FALSE)</f>
        <v>7</v>
      </c>
      <c r="N164" s="35"/>
      <c r="O164" s="35"/>
      <c r="P164" s="35"/>
      <c r="Q164" s="35"/>
    </row>
    <row r="165" spans="2:17" ht="20.100000000000001" customHeight="1" x14ac:dyDescent="0.25">
      <c r="B165" s="43">
        <v>26</v>
      </c>
      <c r="C165" s="43">
        <v>2</v>
      </c>
      <c r="D165" s="43">
        <v>2</v>
      </c>
      <c r="E165" s="43">
        <v>7</v>
      </c>
      <c r="F165" s="43">
        <v>3</v>
      </c>
      <c r="G165" s="43">
        <v>4</v>
      </c>
      <c r="H165" s="43">
        <v>2</v>
      </c>
      <c r="I165" s="43">
        <v>7</v>
      </c>
      <c r="J165" s="43">
        <v>0</v>
      </c>
      <c r="K165" s="43">
        <v>2</v>
      </c>
      <c r="L165" s="43">
        <f>HLOOKUP($C165,$D$139:$G165,$B165+1,FALSE)</f>
        <v>7</v>
      </c>
      <c r="M165" s="43">
        <f>HLOOKUP($C165,$H$139:$K165,$B165+1,FALSE)</f>
        <v>7</v>
      </c>
      <c r="N165" s="35"/>
      <c r="O165" s="35"/>
      <c r="P165" s="35"/>
      <c r="Q165" s="35"/>
    </row>
    <row r="166" spans="2:17" ht="20.100000000000001" customHeight="1" x14ac:dyDescent="0.25">
      <c r="B166" s="43">
        <v>27</v>
      </c>
      <c r="C166" s="43">
        <v>1</v>
      </c>
      <c r="D166" s="43">
        <v>8</v>
      </c>
      <c r="E166" s="43">
        <v>1</v>
      </c>
      <c r="F166" s="43">
        <v>3</v>
      </c>
      <c r="G166" s="43">
        <v>0</v>
      </c>
      <c r="H166" s="43">
        <v>8</v>
      </c>
      <c r="I166" s="43">
        <v>4</v>
      </c>
      <c r="J166" s="43">
        <v>7</v>
      </c>
      <c r="K166" s="43">
        <v>8</v>
      </c>
      <c r="L166" s="43">
        <f>HLOOKUP($C166,$D$139:$G166,$B166+1,FALSE)</f>
        <v>8</v>
      </c>
      <c r="M166" s="43">
        <f>HLOOKUP($C166,$H$139:$K166,$B166+1,FALSE)</f>
        <v>8</v>
      </c>
      <c r="N166" s="35"/>
      <c r="O166" s="35"/>
      <c r="P166" s="35"/>
      <c r="Q166" s="35"/>
    </row>
    <row r="167" spans="2:17" ht="20.100000000000001" customHeight="1" x14ac:dyDescent="0.25">
      <c r="B167" s="43">
        <v>28</v>
      </c>
      <c r="C167" s="43">
        <v>2</v>
      </c>
      <c r="D167" s="43">
        <v>8</v>
      </c>
      <c r="E167" s="43">
        <v>2</v>
      </c>
      <c r="F167" s="43">
        <v>1</v>
      </c>
      <c r="G167" s="43">
        <v>1</v>
      </c>
      <c r="H167" s="43">
        <v>9</v>
      </c>
      <c r="I167" s="43">
        <v>8</v>
      </c>
      <c r="J167" s="43">
        <v>8</v>
      </c>
      <c r="K167" s="43">
        <v>4</v>
      </c>
      <c r="L167" s="43">
        <f>HLOOKUP($C167,$D$139:$G167,$B167+1,FALSE)</f>
        <v>2</v>
      </c>
      <c r="M167" s="43">
        <f>HLOOKUP($C167,$H$139:$K167,$B167+1,FALSE)</f>
        <v>8</v>
      </c>
      <c r="N167" s="35"/>
      <c r="O167" s="35"/>
      <c r="P167" s="35"/>
      <c r="Q167" s="35"/>
    </row>
    <row r="168" spans="2:17" ht="20.100000000000001" customHeight="1" x14ac:dyDescent="0.25">
      <c r="B168" s="43">
        <v>29</v>
      </c>
      <c r="C168" s="43">
        <v>3</v>
      </c>
      <c r="D168" s="43">
        <v>3</v>
      </c>
      <c r="E168" s="43">
        <v>1</v>
      </c>
      <c r="F168" s="43">
        <v>1</v>
      </c>
      <c r="G168" s="43">
        <v>10</v>
      </c>
      <c r="H168" s="43">
        <v>5</v>
      </c>
      <c r="I168" s="43">
        <v>3</v>
      </c>
      <c r="J168" s="43">
        <v>8</v>
      </c>
      <c r="K168" s="43">
        <v>5</v>
      </c>
      <c r="L168" s="43">
        <f>HLOOKUP($C168,$D$139:$G168,$B168+1,FALSE)</f>
        <v>1</v>
      </c>
      <c r="M168" s="43">
        <f>HLOOKUP($C168,$H$139:$K168,$B168+1,FALSE)</f>
        <v>8</v>
      </c>
      <c r="N168" s="35"/>
      <c r="O168" s="35"/>
      <c r="P168" s="35"/>
      <c r="Q168" s="35"/>
    </row>
    <row r="169" spans="2:17" ht="20.100000000000001" customHeight="1" x14ac:dyDescent="0.25">
      <c r="B169" s="43">
        <v>30</v>
      </c>
      <c r="C169" s="43">
        <v>3</v>
      </c>
      <c r="D169" s="43">
        <v>3</v>
      </c>
      <c r="E169" s="43">
        <v>4</v>
      </c>
      <c r="F169" s="43">
        <v>9</v>
      </c>
      <c r="G169" s="43">
        <v>0</v>
      </c>
      <c r="H169" s="43">
        <v>8</v>
      </c>
      <c r="I169" s="43">
        <v>3</v>
      </c>
      <c r="J169" s="43">
        <v>10</v>
      </c>
      <c r="K169" s="43">
        <v>9</v>
      </c>
      <c r="L169" s="43">
        <f>HLOOKUP($C169,$D$139:$G169,$B169+1,FALSE)</f>
        <v>9</v>
      </c>
      <c r="M169" s="43">
        <f>HLOOKUP($C169,$H$139:$K169,$B169+1,FALSE)</f>
        <v>10</v>
      </c>
      <c r="N169" s="35"/>
      <c r="O169" s="35"/>
      <c r="P169" s="35"/>
      <c r="Q169" s="35"/>
    </row>
    <row r="170" spans="2:17" ht="20.100000000000001" customHeight="1" x14ac:dyDescent="0.25">
      <c r="B170" s="43">
        <v>31</v>
      </c>
      <c r="C170" s="43">
        <v>2</v>
      </c>
      <c r="D170" s="43">
        <v>1</v>
      </c>
      <c r="E170" s="43">
        <v>0</v>
      </c>
      <c r="F170" s="43">
        <v>6</v>
      </c>
      <c r="G170" s="43">
        <v>2</v>
      </c>
      <c r="H170" s="43">
        <v>6</v>
      </c>
      <c r="I170" s="43">
        <v>6</v>
      </c>
      <c r="J170" s="43">
        <v>1</v>
      </c>
      <c r="K170" s="43">
        <v>1</v>
      </c>
      <c r="L170" s="43">
        <f>HLOOKUP($C170,$D$139:$G170,$B170+1,FALSE)</f>
        <v>0</v>
      </c>
      <c r="M170" s="43">
        <f>HLOOKUP($C170,$H$139:$K170,$B170+1,FALSE)</f>
        <v>6</v>
      </c>
      <c r="N170" s="35"/>
      <c r="O170" s="35"/>
      <c r="P170" s="35"/>
      <c r="Q170" s="35"/>
    </row>
    <row r="171" spans="2:17" ht="20.100000000000001" customHeight="1" x14ac:dyDescent="0.25">
      <c r="B171" s="43">
        <v>32</v>
      </c>
      <c r="C171" s="43">
        <v>4</v>
      </c>
      <c r="D171" s="43">
        <v>6</v>
      </c>
      <c r="E171" s="43">
        <v>1</v>
      </c>
      <c r="F171" s="43">
        <v>7</v>
      </c>
      <c r="G171" s="43">
        <v>6</v>
      </c>
      <c r="H171" s="43">
        <v>8</v>
      </c>
      <c r="I171" s="43">
        <v>6</v>
      </c>
      <c r="J171" s="43">
        <v>5</v>
      </c>
      <c r="K171" s="43">
        <v>9</v>
      </c>
      <c r="L171" s="43">
        <f>HLOOKUP($C171,$D$139:$G171,$B171+1,FALSE)</f>
        <v>6</v>
      </c>
      <c r="M171" s="43">
        <f>HLOOKUP($C171,$H$139:$K171,$B171+1,FALSE)</f>
        <v>9</v>
      </c>
      <c r="N171" s="35"/>
      <c r="O171" s="35"/>
      <c r="P171" s="35"/>
      <c r="Q171" s="35"/>
    </row>
    <row r="172" spans="2:17" ht="20.100000000000001" customHeight="1" x14ac:dyDescent="0.25">
      <c r="B172" s="43">
        <v>33</v>
      </c>
      <c r="C172" s="43">
        <v>3</v>
      </c>
      <c r="D172" s="43">
        <v>1</v>
      </c>
      <c r="E172" s="43">
        <v>8</v>
      </c>
      <c r="F172" s="43">
        <v>0</v>
      </c>
      <c r="G172" s="43">
        <v>1</v>
      </c>
      <c r="H172" s="43">
        <v>1</v>
      </c>
      <c r="I172" s="43">
        <v>1</v>
      </c>
      <c r="J172" s="43">
        <v>9</v>
      </c>
      <c r="K172" s="43">
        <v>5</v>
      </c>
      <c r="L172" s="43">
        <f>HLOOKUP($C172,$D$139:$G172,$B172+1,FALSE)</f>
        <v>0</v>
      </c>
      <c r="M172" s="43">
        <f>HLOOKUP($C172,$H$139:$K172,$B172+1,FALSE)</f>
        <v>9</v>
      </c>
      <c r="N172" s="35"/>
      <c r="O172" s="35"/>
      <c r="P172" s="35"/>
      <c r="Q172" s="35"/>
    </row>
    <row r="173" spans="2:17" ht="20.100000000000001" customHeight="1" x14ac:dyDescent="0.25">
      <c r="B173" s="43">
        <v>34</v>
      </c>
      <c r="C173" s="43">
        <v>1</v>
      </c>
      <c r="D173" s="43">
        <v>6</v>
      </c>
      <c r="E173" s="43">
        <v>7</v>
      </c>
      <c r="F173" s="43">
        <v>2</v>
      </c>
      <c r="G173" s="43">
        <v>6</v>
      </c>
      <c r="H173" s="43">
        <v>9</v>
      </c>
      <c r="I173" s="43">
        <v>8</v>
      </c>
      <c r="J173" s="43">
        <v>6</v>
      </c>
      <c r="K173" s="43">
        <v>1</v>
      </c>
      <c r="L173" s="43">
        <f>HLOOKUP($C173,$D$139:$G173,$B173+1,FALSE)</f>
        <v>6</v>
      </c>
      <c r="M173" s="43">
        <f>HLOOKUP($C173,$H$139:$K173,$B173+1,FALSE)</f>
        <v>9</v>
      </c>
      <c r="N173" s="35"/>
      <c r="O173" s="35"/>
      <c r="P173" s="35"/>
      <c r="Q173" s="35"/>
    </row>
    <row r="174" spans="2:17" ht="20.100000000000001" customHeight="1" x14ac:dyDescent="0.25">
      <c r="B174" s="43">
        <v>35</v>
      </c>
      <c r="C174" s="43">
        <v>2</v>
      </c>
      <c r="D174" s="43">
        <v>6</v>
      </c>
      <c r="E174" s="43">
        <v>7</v>
      </c>
      <c r="F174" s="43">
        <v>3</v>
      </c>
      <c r="G174" s="43">
        <v>1</v>
      </c>
      <c r="H174" s="43">
        <v>5</v>
      </c>
      <c r="I174" s="43">
        <v>7</v>
      </c>
      <c r="J174" s="43">
        <v>4</v>
      </c>
      <c r="K174" s="43">
        <v>5</v>
      </c>
      <c r="L174" s="43">
        <f>HLOOKUP($C174,$D$139:$G174,$B174+1,FALSE)</f>
        <v>7</v>
      </c>
      <c r="M174" s="43">
        <f>HLOOKUP($C174,$H$139:$K174,$B174+1,FALSE)</f>
        <v>7</v>
      </c>
      <c r="N174" s="35"/>
      <c r="O174" s="35"/>
      <c r="P174" s="35"/>
      <c r="Q174" s="35"/>
    </row>
    <row r="175" spans="2:17" ht="20.100000000000001" customHeight="1" x14ac:dyDescent="0.25">
      <c r="B175" s="43">
        <v>36</v>
      </c>
      <c r="C175" s="43">
        <v>4</v>
      </c>
      <c r="D175" s="43">
        <v>1</v>
      </c>
      <c r="E175" s="43">
        <v>1</v>
      </c>
      <c r="F175" s="43">
        <v>4</v>
      </c>
      <c r="G175" s="43">
        <v>2</v>
      </c>
      <c r="H175" s="43">
        <v>5</v>
      </c>
      <c r="I175" s="43">
        <v>7</v>
      </c>
      <c r="J175" s="43">
        <v>5</v>
      </c>
      <c r="K175" s="43">
        <v>10</v>
      </c>
      <c r="L175" s="43">
        <f>HLOOKUP($C175,$D$139:$G175,$B175+1,FALSE)</f>
        <v>2</v>
      </c>
      <c r="M175" s="43">
        <f>HLOOKUP($C175,$H$139:$K175,$B175+1,FALSE)</f>
        <v>10</v>
      </c>
      <c r="N175" s="35"/>
      <c r="O175" s="35"/>
      <c r="P175" s="35"/>
      <c r="Q175" s="35"/>
    </row>
    <row r="176" spans="2:17" ht="20.100000000000001" customHeight="1" x14ac:dyDescent="0.25">
      <c r="B176" s="43">
        <v>37</v>
      </c>
      <c r="C176" s="43">
        <v>3</v>
      </c>
      <c r="D176" s="43">
        <v>6</v>
      </c>
      <c r="E176" s="43">
        <v>4</v>
      </c>
      <c r="F176" s="43">
        <v>6</v>
      </c>
      <c r="G176" s="43">
        <v>9</v>
      </c>
      <c r="H176" s="43">
        <v>10</v>
      </c>
      <c r="I176" s="43">
        <v>4</v>
      </c>
      <c r="J176" s="43">
        <v>9</v>
      </c>
      <c r="K176" s="43">
        <v>8</v>
      </c>
      <c r="L176" s="43">
        <f>HLOOKUP($C176,$D$139:$G176,$B176+1,FALSE)</f>
        <v>6</v>
      </c>
      <c r="M176" s="43">
        <f>HLOOKUP($C176,$H$139:$K176,$B176+1,FALSE)</f>
        <v>9</v>
      </c>
      <c r="N176" s="35"/>
      <c r="O176" s="35"/>
      <c r="P176" s="35"/>
      <c r="Q176" s="35"/>
    </row>
    <row r="177" spans="2:17" ht="20.100000000000001" customHeight="1" x14ac:dyDescent="0.25">
      <c r="B177" s="43">
        <v>38</v>
      </c>
      <c r="C177" s="43">
        <v>4</v>
      </c>
      <c r="D177" s="43">
        <v>5</v>
      </c>
      <c r="E177" s="43">
        <v>6</v>
      </c>
      <c r="F177" s="43">
        <v>3</v>
      </c>
      <c r="G177" s="43">
        <v>10</v>
      </c>
      <c r="H177" s="43">
        <v>4</v>
      </c>
      <c r="I177" s="43">
        <v>5</v>
      </c>
      <c r="J177" s="43">
        <v>4</v>
      </c>
      <c r="K177" s="43">
        <v>8</v>
      </c>
      <c r="L177" s="43">
        <f>HLOOKUP($C177,$D$139:$G177,$B177+1,FALSE)</f>
        <v>10</v>
      </c>
      <c r="M177" s="43">
        <f>HLOOKUP($C177,$H$139:$K177,$B177+1,FALSE)</f>
        <v>8</v>
      </c>
      <c r="N177" s="35"/>
      <c r="O177" s="35"/>
      <c r="P177" s="35"/>
      <c r="Q177" s="35"/>
    </row>
    <row r="178" spans="2:17" ht="20.100000000000001" customHeight="1" x14ac:dyDescent="0.25">
      <c r="B178" s="43">
        <v>39</v>
      </c>
      <c r="C178" s="43">
        <v>4</v>
      </c>
      <c r="D178" s="43">
        <v>5</v>
      </c>
      <c r="E178" s="43">
        <v>4</v>
      </c>
      <c r="F178" s="43">
        <v>4</v>
      </c>
      <c r="G178" s="43">
        <v>5</v>
      </c>
      <c r="H178" s="43">
        <v>8</v>
      </c>
      <c r="I178" s="43">
        <v>0</v>
      </c>
      <c r="J178" s="43">
        <v>7</v>
      </c>
      <c r="K178" s="43">
        <v>8</v>
      </c>
      <c r="L178" s="43">
        <f>HLOOKUP($C178,$D$139:$G178,$B178+1,FALSE)</f>
        <v>5</v>
      </c>
      <c r="M178" s="43">
        <f>HLOOKUP($C178,$H$139:$K178,$B178+1,FALSE)</f>
        <v>8</v>
      </c>
      <c r="N178" s="35"/>
      <c r="O178" s="35"/>
      <c r="P178" s="35"/>
      <c r="Q178" s="35"/>
    </row>
    <row r="179" spans="2:17" ht="20.100000000000001" customHeight="1" x14ac:dyDescent="0.25">
      <c r="B179" s="43">
        <v>40</v>
      </c>
      <c r="C179" s="43">
        <v>4</v>
      </c>
      <c r="D179" s="43">
        <v>8</v>
      </c>
      <c r="E179" s="43">
        <v>9</v>
      </c>
      <c r="F179" s="43">
        <v>8</v>
      </c>
      <c r="G179" s="43">
        <v>0</v>
      </c>
      <c r="H179" s="43">
        <v>7</v>
      </c>
      <c r="I179" s="43">
        <v>1</v>
      </c>
      <c r="J179" s="43">
        <v>4</v>
      </c>
      <c r="K179" s="43">
        <v>8</v>
      </c>
      <c r="L179" s="43">
        <f>HLOOKUP($C179,$D$139:$G179,$B179+1,FALSE)</f>
        <v>0</v>
      </c>
      <c r="M179" s="43">
        <f>HLOOKUP($C179,$H$139:$K179,$B179+1,FALSE)</f>
        <v>8</v>
      </c>
      <c r="N179" s="35"/>
      <c r="O179" s="35"/>
      <c r="P179" s="35"/>
      <c r="Q179" s="35"/>
    </row>
  </sheetData>
  <mergeCells count="14">
    <mergeCell ref="B41:B43"/>
    <mergeCell ref="B69:G69"/>
    <mergeCell ref="H69:J69"/>
    <mergeCell ref="B23:G23"/>
    <mergeCell ref="D138:G138"/>
    <mergeCell ref="H138:K138"/>
    <mergeCell ref="B2:G2"/>
    <mergeCell ref="I37:J37"/>
    <mergeCell ref="I38:J38"/>
    <mergeCell ref="I39:J39"/>
    <mergeCell ref="B13:B14"/>
    <mergeCell ref="C13:C14"/>
    <mergeCell ref="D13:F13"/>
    <mergeCell ref="G13:G1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Problem</vt:lpstr>
      <vt:lpstr>Reference</vt:lpstr>
      <vt:lpstr>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Rafi</dc:creator>
  <cp:lastModifiedBy>Rafiul Haq</cp:lastModifiedBy>
  <dcterms:created xsi:type="dcterms:W3CDTF">2015-06-05T18:17:20Z</dcterms:created>
  <dcterms:modified xsi:type="dcterms:W3CDTF">2022-11-27T05:35:25Z</dcterms:modified>
</cp:coreProperties>
</file>