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3944_62-0042_Rubayed Razib_how to plot log log graph in excel\"/>
    </mc:Choice>
  </mc:AlternateContent>
  <xr:revisionPtr revIDLastSave="0" documentId="13_ncr:1_{C9E8D635-3F88-47B6-9BC6-23FF6821485A}" xr6:coauthVersionLast="47" xr6:coauthVersionMax="47" xr10:uidLastSave="{00000000-0000-0000-0000-000000000000}"/>
  <bookViews>
    <workbookView xWindow="-28920" yWindow="-3300" windowWidth="29040" windowHeight="16440" xr2:uid="{B08FCE10-E8F6-4DA0-8845-68CA09C32245}"/>
  </bookViews>
  <sheets>
    <sheet name="Log-Log_1" sheetId="3" r:id="rId1"/>
    <sheet name="Log-Log_2" sheetId="2" r:id="rId2"/>
    <sheet name="Semi Log " sheetId="1" r:id="rId3"/>
  </sheets>
  <externalReferences>
    <externalReference r:id="rId4"/>
  </externalReferences>
  <definedNames>
    <definedName name="_xlchart.v1.0" hidden="1">'Log-Log_1'!$B$4:$C$4</definedName>
    <definedName name="_xlchart.v1.1" hidden="1">'Log-Log_1'!$B$5:$B$24</definedName>
    <definedName name="_xlchart.v1.2" hidden="1">'Log-Log_1'!$D$5:$D$24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2" l="1"/>
  <c r="B37" i="2"/>
  <c r="C13" i="2"/>
  <c r="C43" i="2"/>
  <c r="C7" i="2"/>
  <c r="B30" i="2"/>
  <c r="C39" i="2"/>
  <c r="C34" i="2"/>
  <c r="B40" i="2"/>
  <c r="C35" i="2"/>
  <c r="C21" i="2"/>
  <c r="B21" i="2"/>
  <c r="C40" i="2"/>
  <c r="B25" i="2"/>
  <c r="B31" i="2"/>
  <c r="B35" i="2"/>
  <c r="B16" i="2"/>
  <c r="B17" i="2"/>
  <c r="C31" i="2"/>
  <c r="C25" i="2"/>
  <c r="C15" i="2"/>
  <c r="C33" i="2"/>
  <c r="B10" i="2"/>
  <c r="C18" i="2"/>
  <c r="B26" i="2"/>
  <c r="C23" i="2"/>
  <c r="C19" i="2"/>
  <c r="C41" i="2"/>
  <c r="C8" i="2"/>
  <c r="C12" i="2"/>
  <c r="B28" i="2"/>
  <c r="B42" i="2"/>
  <c r="B22" i="2"/>
  <c r="B14" i="2"/>
  <c r="B9" i="2"/>
  <c r="B27" i="2"/>
  <c r="B38" i="2"/>
  <c r="C37" i="2"/>
  <c r="B41" i="2"/>
  <c r="C44" i="2"/>
  <c r="B29" i="2"/>
  <c r="C9" i="2"/>
  <c r="B15" i="2"/>
  <c r="B8" i="2"/>
  <c r="C16" i="2"/>
  <c r="C22" i="2"/>
  <c r="C24" i="2"/>
  <c r="B44" i="2"/>
  <c r="C27" i="2"/>
  <c r="C20" i="2"/>
  <c r="C32" i="2"/>
  <c r="B7" i="2"/>
  <c r="C10" i="2"/>
  <c r="B32" i="2"/>
  <c r="B43" i="2"/>
  <c r="B13" i="2"/>
  <c r="C28" i="2"/>
  <c r="C42" i="2"/>
  <c r="C38" i="2"/>
  <c r="B18" i="2"/>
  <c r="B20" i="2"/>
  <c r="B11" i="2"/>
  <c r="C11" i="2"/>
  <c r="C36" i="2"/>
  <c r="B19" i="2"/>
  <c r="B6" i="2"/>
  <c r="B34" i="2"/>
  <c r="C5" i="2"/>
  <c r="B23" i="2"/>
  <c r="B39" i="2"/>
  <c r="C14" i="2"/>
  <c r="C30" i="2"/>
  <c r="C6" i="2"/>
  <c r="C17" i="2"/>
  <c r="B24" i="2"/>
  <c r="B36" i="2"/>
  <c r="C29" i="2"/>
  <c r="B12" i="2"/>
  <c r="B5" i="2"/>
  <c r="C26" i="2"/>
</calcChain>
</file>

<file path=xl/sharedStrings.xml><?xml version="1.0" encoding="utf-8"?>
<sst xmlns="http://schemas.openxmlformats.org/spreadsheetml/2006/main" count="10" uniqueCount="9">
  <si>
    <t>Centuries</t>
  </si>
  <si>
    <t>Populations(Millions)</t>
  </si>
  <si>
    <t>Plot Log Log Graph in Excel</t>
  </si>
  <si>
    <t>Female</t>
  </si>
  <si>
    <t>Male</t>
  </si>
  <si>
    <t>Week</t>
  </si>
  <si>
    <t>Week Count</t>
  </si>
  <si>
    <t>Weekly Case Count</t>
  </si>
  <si>
    <t>Plot Semi Log Graph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</si>
</sst>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bg1"/>
                </a:solidFill>
              </a:rPr>
              <a:t>Covid Death in Lousiana </a:t>
            </a:r>
            <a:r>
              <a:rPr lang="en-US">
                <a:solidFill>
                  <a:schemeClr val="bg1"/>
                </a:solidFill>
              </a:rPr>
              <a:t>State</a:t>
            </a:r>
          </a:p>
        </c:rich>
      </c:tx>
      <c:layout>
        <c:manualLayout>
          <c:xMode val="edge"/>
          <c:yMode val="edge"/>
          <c:x val="0.33322430673928682"/>
          <c:y val="3.0166069736360109E-2"/>
        </c:manualLayout>
      </c:layout>
      <c:overlay val="0"/>
      <c:spPr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0652695067687"/>
          <c:y val="0.16904736449228253"/>
          <c:w val="0.79568665577889142"/>
          <c:h val="0.64550998097714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'Log-Log_1'!$B$4:$C$4</c:f>
              <c:strCache>
                <c:ptCount val="1"/>
                <c:pt idx="0">
                  <c:v>Weekly Case Count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'Log-Log_1'!$D$5:$D$24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'Log-Log_1'!$B$5:$B$24</c:f>
              <c:numCache>
                <c:formatCode>General</c:formatCode>
                <c:ptCount val="20"/>
                <c:pt idx="0">
                  <c:v>44</c:v>
                </c:pt>
                <c:pt idx="1">
                  <c:v>1667</c:v>
                </c:pt>
                <c:pt idx="2">
                  <c:v>6072</c:v>
                </c:pt>
                <c:pt idx="3">
                  <c:v>7303</c:v>
                </c:pt>
                <c:pt idx="4">
                  <c:v>5715</c:v>
                </c:pt>
                <c:pt idx="5">
                  <c:v>3628</c:v>
                </c:pt>
                <c:pt idx="6">
                  <c:v>2994</c:v>
                </c:pt>
                <c:pt idx="7">
                  <c:v>2579</c:v>
                </c:pt>
                <c:pt idx="8">
                  <c:v>2483</c:v>
                </c:pt>
                <c:pt idx="9">
                  <c:v>2344</c:v>
                </c:pt>
                <c:pt idx="10">
                  <c:v>2483</c:v>
                </c:pt>
                <c:pt idx="11">
                  <c:v>2565</c:v>
                </c:pt>
                <c:pt idx="12">
                  <c:v>2250</c:v>
                </c:pt>
                <c:pt idx="13">
                  <c:v>2483</c:v>
                </c:pt>
                <c:pt idx="14">
                  <c:v>2798</c:v>
                </c:pt>
                <c:pt idx="15">
                  <c:v>2994</c:v>
                </c:pt>
                <c:pt idx="16">
                  <c:v>2980</c:v>
                </c:pt>
                <c:pt idx="17">
                  <c:v>4814</c:v>
                </c:pt>
                <c:pt idx="18">
                  <c:v>8425</c:v>
                </c:pt>
                <c:pt idx="19">
                  <c:v>12141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97-4448-A27C-B8395A68B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599599"/>
        <c:axId val="1933598351"/>
      </c:scatterChart>
      <c:valAx>
        <c:axId val="1933599599"/>
        <c:scaling>
          <c:logBase val="10"/>
          <c:orientation val="minMax"/>
          <c:max val="35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 b="1" i="0" baseline="0"/>
                  <a:t>No of Weeks Passed</a:t>
                </a:r>
              </a:p>
            </c:rich>
          </c:tx>
          <c:layout>
            <c:manualLayout>
              <c:xMode val="edge"/>
              <c:yMode val="edge"/>
              <c:x val="0.33523563009971713"/>
              <c:y val="0.859946282938408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598351"/>
        <c:crossesAt val="1"/>
        <c:crossBetween val="midCat"/>
      </c:valAx>
      <c:valAx>
        <c:axId val="1933598351"/>
        <c:scaling>
          <c:logBase val="10"/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 b="1" i="0" baseline="0"/>
                  <a:t>Total Death</a:t>
                </a:r>
              </a:p>
            </c:rich>
          </c:tx>
          <c:layout>
            <c:manualLayout>
              <c:xMode val="edge"/>
              <c:yMode val="edge"/>
              <c:x val="1.1229087031250143E-3"/>
              <c:y val="0.51290669023514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5995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72855789983125"/>
          <c:y val="0.71710000535647334"/>
          <c:w val="0.18461481024246082"/>
          <c:h val="5.0844978369798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bg1"/>
                </a:solidFill>
              </a:rPr>
              <a:t>Covid Death in Lousiana State</a:t>
            </a:r>
          </a:p>
        </c:rich>
      </c:tx>
      <c:layout>
        <c:manualLayout>
          <c:xMode val="edge"/>
          <c:yMode val="edge"/>
          <c:x val="0.33322430673928682"/>
          <c:y val="3.0166069736360109E-2"/>
        </c:manualLayout>
      </c:layout>
      <c:overlay val="0"/>
      <c:spPr>
        <a:solidFill>
          <a:schemeClr val="accent6">
            <a:lumMod val="75000"/>
          </a:schemeClr>
        </a:solidFill>
        <a:ln>
          <a:solidFill>
            <a:srgbClr val="00206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0652695067687"/>
          <c:y val="0.16904736449228253"/>
          <c:w val="0.79568665577889142"/>
          <c:h val="0.64550998097714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'[1]GENDER-PARISH'!$I$1</c:f>
              <c:strCache>
                <c:ptCount val="1"/>
                <c:pt idx="0">
                  <c:v>Male</c:v>
                </c:pt>
              </c:strCache>
            </c:strRef>
          </c:tx>
          <c:spPr>
            <a:ln w="22225" cap="rnd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>
                  <a:tint val="77000"/>
                </a:schemeClr>
              </a:solidFill>
              <a:ln w="9525">
                <a:solidFill>
                  <a:schemeClr val="accent2">
                    <a:tint val="77000"/>
                  </a:schemeClr>
                </a:solidFill>
                <a:round/>
              </a:ln>
              <a:effectLst/>
            </c:spPr>
          </c:marker>
          <c:xVal>
            <c:numRef>
              <c:f>'Log-Log_2'!$D$5:$D$44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'Log-Log_2'!$C$5:$C$44</c:f>
              <c:numCache>
                <c:formatCode>General</c:formatCode>
                <c:ptCount val="40"/>
                <c:pt idx="0">
                  <c:v>0</c:v>
                </c:pt>
                <c:pt idx="1">
                  <c:v>20</c:v>
                </c:pt>
                <c:pt idx="2">
                  <c:v>687</c:v>
                </c:pt>
                <c:pt idx="3">
                  <c:v>687</c:v>
                </c:pt>
                <c:pt idx="4">
                  <c:v>2377</c:v>
                </c:pt>
                <c:pt idx="5">
                  <c:v>3007</c:v>
                </c:pt>
                <c:pt idx="6">
                  <c:v>2282</c:v>
                </c:pt>
                <c:pt idx="7">
                  <c:v>1433</c:v>
                </c:pt>
                <c:pt idx="8">
                  <c:v>1169</c:v>
                </c:pt>
                <c:pt idx="9">
                  <c:v>1046</c:v>
                </c:pt>
                <c:pt idx="10">
                  <c:v>1065</c:v>
                </c:pt>
                <c:pt idx="11">
                  <c:v>994</c:v>
                </c:pt>
                <c:pt idx="12">
                  <c:v>1088</c:v>
                </c:pt>
                <c:pt idx="13">
                  <c:v>996</c:v>
                </c:pt>
                <c:pt idx="14">
                  <c:v>1283</c:v>
                </c:pt>
                <c:pt idx="15">
                  <c:v>1313</c:v>
                </c:pt>
                <c:pt idx="16">
                  <c:v>2162</c:v>
                </c:pt>
                <c:pt idx="17">
                  <c:v>3632</c:v>
                </c:pt>
                <c:pt idx="18">
                  <c:v>5319</c:v>
                </c:pt>
                <c:pt idx="19">
                  <c:v>6081</c:v>
                </c:pt>
                <c:pt idx="20">
                  <c:v>6466</c:v>
                </c:pt>
                <c:pt idx="21">
                  <c:v>4747</c:v>
                </c:pt>
                <c:pt idx="22">
                  <c:v>4236</c:v>
                </c:pt>
                <c:pt idx="23">
                  <c:v>3328</c:v>
                </c:pt>
                <c:pt idx="24">
                  <c:v>2737</c:v>
                </c:pt>
                <c:pt idx="25">
                  <c:v>2530</c:v>
                </c:pt>
                <c:pt idx="26">
                  <c:v>2361</c:v>
                </c:pt>
                <c:pt idx="27">
                  <c:v>2196</c:v>
                </c:pt>
                <c:pt idx="28">
                  <c:v>2099</c:v>
                </c:pt>
                <c:pt idx="29">
                  <c:v>1999</c:v>
                </c:pt>
                <c:pt idx="30">
                  <c:v>1958</c:v>
                </c:pt>
                <c:pt idx="31">
                  <c:v>1918</c:v>
                </c:pt>
                <c:pt idx="32">
                  <c:v>2037</c:v>
                </c:pt>
                <c:pt idx="33">
                  <c:v>2212</c:v>
                </c:pt>
                <c:pt idx="34">
                  <c:v>2290</c:v>
                </c:pt>
                <c:pt idx="35">
                  <c:v>2751</c:v>
                </c:pt>
                <c:pt idx="36">
                  <c:v>4769</c:v>
                </c:pt>
                <c:pt idx="37">
                  <c:v>6168</c:v>
                </c:pt>
                <c:pt idx="38">
                  <c:v>6520</c:v>
                </c:pt>
                <c:pt idx="39">
                  <c:v>6312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3F-4AE0-B09E-82E7CE852B52}"/>
            </c:ext>
          </c:extLst>
        </c:ser>
        <c:ser>
          <c:idx val="1"/>
          <c:order val="1"/>
          <c:tx>
            <c:strRef>
              <c:f>'[1]GENDER-PARISH'!$H$1</c:f>
              <c:strCache>
                <c:ptCount val="1"/>
                <c:pt idx="0">
                  <c:v>Female</c:v>
                </c:pt>
              </c:strCache>
            </c:strRef>
          </c:tx>
          <c:spPr>
            <a:ln w="22225" cap="rnd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>
                  <a:shade val="76000"/>
                </a:schemeClr>
              </a:solidFill>
              <a:ln w="9525">
                <a:solidFill>
                  <a:schemeClr val="accent2">
                    <a:shade val="76000"/>
                  </a:schemeClr>
                </a:solidFill>
                <a:round/>
              </a:ln>
              <a:effectLst/>
            </c:spPr>
          </c:marker>
          <c:xVal>
            <c:numRef>
              <c:f>'Log-Log_2'!$D$5:$D$44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'Log-Log_2'!$B$5:$B$44</c:f>
              <c:numCache>
                <c:formatCode>General</c:formatCode>
                <c:ptCount val="40"/>
                <c:pt idx="0">
                  <c:v>0</c:v>
                </c:pt>
                <c:pt idx="1">
                  <c:v>24</c:v>
                </c:pt>
                <c:pt idx="2">
                  <c:v>975</c:v>
                </c:pt>
                <c:pt idx="3">
                  <c:v>975</c:v>
                </c:pt>
                <c:pt idx="4">
                  <c:v>3472</c:v>
                </c:pt>
                <c:pt idx="5">
                  <c:v>4155</c:v>
                </c:pt>
                <c:pt idx="6">
                  <c:v>3322</c:v>
                </c:pt>
                <c:pt idx="7">
                  <c:v>2132</c:v>
                </c:pt>
                <c:pt idx="8">
                  <c:v>1782</c:v>
                </c:pt>
                <c:pt idx="9">
                  <c:v>1503</c:v>
                </c:pt>
                <c:pt idx="10">
                  <c:v>1360</c:v>
                </c:pt>
                <c:pt idx="11">
                  <c:v>1319</c:v>
                </c:pt>
                <c:pt idx="12">
                  <c:v>1460</c:v>
                </c:pt>
                <c:pt idx="13">
                  <c:v>1245</c:v>
                </c:pt>
                <c:pt idx="14">
                  <c:v>1498</c:v>
                </c:pt>
                <c:pt idx="15">
                  <c:v>1661</c:v>
                </c:pt>
                <c:pt idx="16">
                  <c:v>2641</c:v>
                </c:pt>
                <c:pt idx="17">
                  <c:v>4760</c:v>
                </c:pt>
                <c:pt idx="18">
                  <c:v>6799</c:v>
                </c:pt>
                <c:pt idx="19">
                  <c:v>7495</c:v>
                </c:pt>
                <c:pt idx="20">
                  <c:v>8571</c:v>
                </c:pt>
                <c:pt idx="21">
                  <c:v>6085</c:v>
                </c:pt>
                <c:pt idx="22">
                  <c:v>5299</c:v>
                </c:pt>
                <c:pt idx="23">
                  <c:v>4364</c:v>
                </c:pt>
                <c:pt idx="24">
                  <c:v>3519</c:v>
                </c:pt>
                <c:pt idx="25">
                  <c:v>2501</c:v>
                </c:pt>
                <c:pt idx="26">
                  <c:v>2324</c:v>
                </c:pt>
                <c:pt idx="27">
                  <c:v>2334</c:v>
                </c:pt>
                <c:pt idx="28">
                  <c:v>2168</c:v>
                </c:pt>
                <c:pt idx="29">
                  <c:v>2192</c:v>
                </c:pt>
                <c:pt idx="30">
                  <c:v>2275</c:v>
                </c:pt>
                <c:pt idx="31">
                  <c:v>2412</c:v>
                </c:pt>
                <c:pt idx="32">
                  <c:v>2436</c:v>
                </c:pt>
                <c:pt idx="33">
                  <c:v>2857</c:v>
                </c:pt>
                <c:pt idx="34">
                  <c:v>2753</c:v>
                </c:pt>
                <c:pt idx="35">
                  <c:v>3405</c:v>
                </c:pt>
                <c:pt idx="36">
                  <c:v>6138</c:v>
                </c:pt>
                <c:pt idx="37">
                  <c:v>7638</c:v>
                </c:pt>
                <c:pt idx="38">
                  <c:v>8476</c:v>
                </c:pt>
                <c:pt idx="39">
                  <c:v>8703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3F-4AE0-B09E-82E7CE852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599599"/>
        <c:axId val="1933598351"/>
      </c:scatterChart>
      <c:valAx>
        <c:axId val="1933599599"/>
        <c:scaling>
          <c:logBase val="10"/>
          <c:orientation val="minMax"/>
          <c:max val="50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 b="1" i="0" baseline="0"/>
                  <a:t>No of Weeks Passed</a:t>
                </a:r>
              </a:p>
            </c:rich>
          </c:tx>
          <c:layout>
            <c:manualLayout>
              <c:xMode val="edge"/>
              <c:yMode val="edge"/>
              <c:x val="0.33523563009971713"/>
              <c:y val="0.859946282938408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598351"/>
        <c:crossesAt val="1"/>
        <c:crossBetween val="midCat"/>
      </c:valAx>
      <c:valAx>
        <c:axId val="1933598351"/>
        <c:scaling>
          <c:logBase val="10"/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50" b="1" i="0" baseline="0"/>
                  <a:t>Total Death</a:t>
                </a:r>
              </a:p>
            </c:rich>
          </c:tx>
          <c:layout>
            <c:manualLayout>
              <c:xMode val="edge"/>
              <c:yMode val="edge"/>
              <c:x val="1.1229087031250143E-3"/>
              <c:y val="0.51290669023514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5995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316265902716"/>
          <c:y val="0.59671993232844334"/>
          <c:w val="9.957868685956274E-2"/>
          <c:h val="0.131263056403663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rnd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Populations</a:t>
            </a:r>
            <a:r>
              <a:rPr lang="en-US" baseline="0">
                <a:solidFill>
                  <a:schemeClr val="bg1"/>
                </a:solidFill>
              </a:rPr>
              <a:t> Through the Centuries</a:t>
            </a:r>
            <a:endParaRPr lang="en-US">
              <a:solidFill>
                <a:schemeClr val="bg1"/>
              </a:solidFill>
            </a:endParaRPr>
          </a:p>
        </c:rich>
      </c:tx>
      <c:overlay val="0"/>
      <c:spPr>
        <a:solidFill>
          <a:schemeClr val="accent6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82510007478115"/>
          <c:y val="0.11829787234042553"/>
          <c:w val="0.77623821463657827"/>
          <c:h val="0.739280355912957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'Semi Log '!$B$4:$C$4</c:f>
              <c:strCache>
                <c:ptCount val="1"/>
                <c:pt idx="0">
                  <c:v>Centuries Populations(Millions)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'Semi Log '!$B$5:$B$18</c:f>
              <c:numCache>
                <c:formatCode>General</c:formatCode>
                <c:ptCount val="14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</c:numCache>
            </c:numRef>
          </c:xVal>
          <c:yVal>
            <c:numRef>
              <c:f>'Semi Log '!$C$5:$C$18</c:f>
              <c:numCache>
                <c:formatCode>General</c:formatCode>
                <c:ptCount val="14"/>
                <c:pt idx="0">
                  <c:v>226</c:v>
                </c:pt>
                <c:pt idx="1">
                  <c:v>224</c:v>
                </c:pt>
                <c:pt idx="2">
                  <c:v>226</c:v>
                </c:pt>
                <c:pt idx="3">
                  <c:v>390</c:v>
                </c:pt>
                <c:pt idx="4">
                  <c:v>353</c:v>
                </c:pt>
                <c:pt idx="5">
                  <c:v>393</c:v>
                </c:pt>
                <c:pt idx="6">
                  <c:v>392</c:v>
                </c:pt>
                <c:pt idx="7">
                  <c:v>390</c:v>
                </c:pt>
                <c:pt idx="8">
                  <c:v>461</c:v>
                </c:pt>
                <c:pt idx="9">
                  <c:v>554</c:v>
                </c:pt>
                <c:pt idx="10">
                  <c:v>603</c:v>
                </c:pt>
                <c:pt idx="11">
                  <c:v>989</c:v>
                </c:pt>
                <c:pt idx="12">
                  <c:v>2000</c:v>
                </c:pt>
                <c:pt idx="13">
                  <c:v>6127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D2-4E9B-9E60-0119AA9F4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733536"/>
        <c:axId val="1234749344"/>
      </c:scatterChart>
      <c:valAx>
        <c:axId val="1234733536"/>
        <c:scaling>
          <c:orientation val="minMax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Centuries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749344"/>
        <c:crosses val="autoZero"/>
        <c:crossBetween val="midCat"/>
      </c:valAx>
      <c:valAx>
        <c:axId val="123474934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Population</a:t>
                </a:r>
              </a:p>
            </c:rich>
          </c:tx>
          <c:layout>
            <c:manualLayout>
              <c:xMode val="edge"/>
              <c:yMode val="edge"/>
              <c:x val="1.6759776536312849E-2"/>
              <c:y val="0.45189379696332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733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783083114610664"/>
          <c:y val="0.179808664903232"/>
          <c:w val="0.30256125984251969"/>
          <c:h val="5.7685123567935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4</xdr:row>
      <xdr:rowOff>47625</xdr:rowOff>
    </xdr:from>
    <xdr:to>
      <xdr:col>18</xdr:col>
      <xdr:colOff>85724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239B4B-48C2-416A-984A-8DFC227A6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4</xdr:row>
      <xdr:rowOff>33337</xdr:rowOff>
    </xdr:from>
    <xdr:to>
      <xdr:col>17</xdr:col>
      <xdr:colOff>142874</xdr:colOff>
      <xdr:row>23</xdr:row>
      <xdr:rowOff>147637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1F2281F-20F0-4094-92D3-8816069CD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19050</xdr:rowOff>
    </xdr:from>
    <xdr:to>
      <xdr:col>15</xdr:col>
      <xdr:colOff>390525</xdr:colOff>
      <xdr:row>20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8C29BF-21AA-4A33-517D-8378CACD9C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_COVID_AGE_GENDER_BYWEEK_PUBLIC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-STATE"/>
      <sheetName val="AGE-REGION"/>
      <sheetName val="GENDER-STATE"/>
      <sheetName val="GENDER-REGION"/>
      <sheetName val="GENDER-PARISH"/>
      <sheetName val="Sheet1"/>
    </sheetNames>
    <sheetDataSet>
      <sheetData sheetId="0"/>
      <sheetData sheetId="1"/>
      <sheetData sheetId="2"/>
      <sheetData sheetId="3"/>
      <sheetData sheetId="4">
        <row r="1">
          <cell r="H1" t="str">
            <v>Female</v>
          </cell>
          <cell r="I1" t="str">
            <v>Male</v>
          </cell>
        </row>
        <row r="2">
          <cell r="H2">
            <v>0</v>
          </cell>
          <cell r="I2">
            <v>0</v>
          </cell>
          <cell r="J2">
            <v>1</v>
          </cell>
        </row>
        <row r="3">
          <cell r="H3">
            <v>24</v>
          </cell>
          <cell r="I3">
            <v>20</v>
          </cell>
          <cell r="J3">
            <v>2</v>
          </cell>
        </row>
        <row r="4">
          <cell r="H4">
            <v>975</v>
          </cell>
          <cell r="I4">
            <v>687</v>
          </cell>
          <cell r="J4">
            <v>3</v>
          </cell>
        </row>
        <row r="5">
          <cell r="H5">
            <v>975</v>
          </cell>
          <cell r="I5">
            <v>687</v>
          </cell>
          <cell r="J5">
            <v>4</v>
          </cell>
        </row>
        <row r="6">
          <cell r="H6">
            <v>3472</v>
          </cell>
          <cell r="I6">
            <v>2377</v>
          </cell>
          <cell r="J6">
            <v>5</v>
          </cell>
        </row>
        <row r="7">
          <cell r="H7">
            <v>4155</v>
          </cell>
          <cell r="I7">
            <v>3007</v>
          </cell>
          <cell r="J7">
            <v>6</v>
          </cell>
        </row>
        <row r="8">
          <cell r="H8">
            <v>3322</v>
          </cell>
          <cell r="I8">
            <v>2282</v>
          </cell>
          <cell r="J8">
            <v>7</v>
          </cell>
        </row>
        <row r="9">
          <cell r="H9">
            <v>2132</v>
          </cell>
          <cell r="I9">
            <v>1433</v>
          </cell>
          <cell r="J9">
            <v>8</v>
          </cell>
        </row>
        <row r="10">
          <cell r="H10">
            <v>1782</v>
          </cell>
          <cell r="I10">
            <v>1169</v>
          </cell>
          <cell r="J10">
            <v>9</v>
          </cell>
        </row>
        <row r="11">
          <cell r="H11">
            <v>1503</v>
          </cell>
          <cell r="I11">
            <v>1046</v>
          </cell>
          <cell r="J11">
            <v>10</v>
          </cell>
        </row>
        <row r="12">
          <cell r="H12">
            <v>1360</v>
          </cell>
          <cell r="I12">
            <v>1065</v>
          </cell>
          <cell r="J12">
            <v>11</v>
          </cell>
        </row>
        <row r="13">
          <cell r="H13">
            <v>1319</v>
          </cell>
          <cell r="I13">
            <v>994</v>
          </cell>
          <cell r="J13">
            <v>12</v>
          </cell>
        </row>
        <row r="14">
          <cell r="H14">
            <v>1460</v>
          </cell>
          <cell r="I14">
            <v>1088</v>
          </cell>
          <cell r="J14">
            <v>13</v>
          </cell>
        </row>
        <row r="15">
          <cell r="H15">
            <v>1245</v>
          </cell>
          <cell r="I15">
            <v>996</v>
          </cell>
          <cell r="J15">
            <v>14</v>
          </cell>
        </row>
        <row r="16">
          <cell r="H16">
            <v>1498</v>
          </cell>
          <cell r="I16">
            <v>1283</v>
          </cell>
          <cell r="J16">
            <v>15</v>
          </cell>
        </row>
        <row r="17">
          <cell r="H17">
            <v>1661</v>
          </cell>
          <cell r="I17">
            <v>1313</v>
          </cell>
          <cell r="J17">
            <v>16</v>
          </cell>
        </row>
        <row r="18">
          <cell r="H18">
            <v>2641</v>
          </cell>
          <cell r="I18">
            <v>2162</v>
          </cell>
          <cell r="J18">
            <v>17</v>
          </cell>
        </row>
        <row r="19">
          <cell r="H19">
            <v>4760</v>
          </cell>
          <cell r="I19">
            <v>3632</v>
          </cell>
          <cell r="J19">
            <v>18</v>
          </cell>
        </row>
        <row r="20">
          <cell r="H20">
            <v>6799</v>
          </cell>
          <cell r="I20">
            <v>5319</v>
          </cell>
          <cell r="J20">
            <v>19</v>
          </cell>
        </row>
        <row r="21">
          <cell r="H21">
            <v>7495</v>
          </cell>
          <cell r="I21">
            <v>6081</v>
          </cell>
          <cell r="J21">
            <v>20</v>
          </cell>
        </row>
        <row r="22">
          <cell r="H22">
            <v>8571</v>
          </cell>
          <cell r="I22">
            <v>6466</v>
          </cell>
          <cell r="J22">
            <v>21</v>
          </cell>
        </row>
        <row r="23">
          <cell r="H23">
            <v>6085</v>
          </cell>
          <cell r="I23">
            <v>4747</v>
          </cell>
          <cell r="J23">
            <v>22</v>
          </cell>
        </row>
        <row r="24">
          <cell r="H24">
            <v>5299</v>
          </cell>
          <cell r="I24">
            <v>4236</v>
          </cell>
          <cell r="J24">
            <v>23</v>
          </cell>
        </row>
        <row r="25">
          <cell r="H25">
            <v>4364</v>
          </cell>
          <cell r="I25">
            <v>3328</v>
          </cell>
          <cell r="J25">
            <v>24</v>
          </cell>
        </row>
        <row r="26">
          <cell r="H26">
            <v>3519</v>
          </cell>
          <cell r="I26">
            <v>2737</v>
          </cell>
          <cell r="J26">
            <v>25</v>
          </cell>
        </row>
        <row r="27">
          <cell r="H27">
            <v>2501</v>
          </cell>
          <cell r="I27">
            <v>2530</v>
          </cell>
          <cell r="J27">
            <v>26</v>
          </cell>
        </row>
        <row r="28">
          <cell r="H28">
            <v>2324</v>
          </cell>
          <cell r="I28">
            <v>2361</v>
          </cell>
          <cell r="J28">
            <v>27</v>
          </cell>
        </row>
        <row r="29">
          <cell r="H29">
            <v>2334</v>
          </cell>
          <cell r="I29">
            <v>2196</v>
          </cell>
          <cell r="J29">
            <v>28</v>
          </cell>
        </row>
        <row r="30">
          <cell r="H30">
            <v>2168</v>
          </cell>
          <cell r="I30">
            <v>2099</v>
          </cell>
          <cell r="J30">
            <v>29</v>
          </cell>
        </row>
        <row r="31">
          <cell r="H31">
            <v>2192</v>
          </cell>
          <cell r="I31">
            <v>1999</v>
          </cell>
          <cell r="J31">
            <v>30</v>
          </cell>
        </row>
        <row r="32">
          <cell r="H32">
            <v>2275</v>
          </cell>
          <cell r="I32">
            <v>1958</v>
          </cell>
          <cell r="J32">
            <v>31</v>
          </cell>
        </row>
        <row r="33">
          <cell r="H33">
            <v>2412</v>
          </cell>
          <cell r="I33">
            <v>1918</v>
          </cell>
          <cell r="J33">
            <v>32</v>
          </cell>
        </row>
        <row r="34">
          <cell r="H34">
            <v>2436</v>
          </cell>
          <cell r="I34">
            <v>2037</v>
          </cell>
          <cell r="J34">
            <v>33</v>
          </cell>
        </row>
        <row r="35">
          <cell r="H35">
            <v>2857</v>
          </cell>
          <cell r="I35">
            <v>2212</v>
          </cell>
          <cell r="J35">
            <v>34</v>
          </cell>
        </row>
        <row r="36">
          <cell r="H36">
            <v>2753</v>
          </cell>
          <cell r="I36">
            <v>2290</v>
          </cell>
          <cell r="J36">
            <v>35</v>
          </cell>
        </row>
        <row r="37">
          <cell r="H37">
            <v>3405</v>
          </cell>
          <cell r="I37">
            <v>2751</v>
          </cell>
          <cell r="J37">
            <v>36</v>
          </cell>
        </row>
        <row r="38">
          <cell r="H38">
            <v>6138</v>
          </cell>
          <cell r="I38">
            <v>4769</v>
          </cell>
          <cell r="J38">
            <v>37</v>
          </cell>
        </row>
        <row r="39">
          <cell r="H39">
            <v>7638</v>
          </cell>
          <cell r="I39">
            <v>6168</v>
          </cell>
          <cell r="J39">
            <v>38</v>
          </cell>
        </row>
        <row r="40">
          <cell r="H40">
            <v>8476</v>
          </cell>
          <cell r="I40">
            <v>6520</v>
          </cell>
          <cell r="J40">
            <v>39</v>
          </cell>
        </row>
        <row r="41">
          <cell r="H41">
            <v>8703</v>
          </cell>
          <cell r="I41">
            <v>6312</v>
          </cell>
          <cell r="J41">
            <v>40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CD54-1A7D-4011-B8A9-CAAF690F8390}">
  <dimension ref="B2:D24"/>
  <sheetViews>
    <sheetView showGridLines="0" tabSelected="1" workbookViewId="0">
      <selection activeCell="D9" sqref="D9"/>
    </sheetView>
  </sheetViews>
  <sheetFormatPr defaultRowHeight="20.100000000000001" customHeight="1" x14ac:dyDescent="0.25"/>
  <cols>
    <col min="1" max="1" width="4.28515625" customWidth="1"/>
    <col min="2" max="2" width="14.28515625" customWidth="1"/>
    <col min="3" max="3" width="6.140625" customWidth="1"/>
    <col min="4" max="4" width="15" customWidth="1"/>
  </cols>
  <sheetData>
    <row r="2" spans="2:4" ht="20.100000000000001" customHeight="1" thickBot="1" x14ac:dyDescent="0.3">
      <c r="B2" s="4" t="s">
        <v>2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8" t="s">
        <v>7</v>
      </c>
      <c r="C4" s="9"/>
      <c r="D4" s="5" t="s">
        <v>6</v>
      </c>
    </row>
    <row r="5" spans="2:4" ht="20.100000000000001" customHeight="1" x14ac:dyDescent="0.25">
      <c r="B5" s="6">
        <v>44</v>
      </c>
      <c r="C5" s="7"/>
      <c r="D5" s="2">
        <v>1</v>
      </c>
    </row>
    <row r="6" spans="2:4" ht="20.100000000000001" customHeight="1" x14ac:dyDescent="0.25">
      <c r="B6" s="6">
        <v>1667</v>
      </c>
      <c r="C6" s="7"/>
      <c r="D6" s="2">
        <v>2</v>
      </c>
    </row>
    <row r="7" spans="2:4" ht="20.100000000000001" customHeight="1" x14ac:dyDescent="0.25">
      <c r="B7" s="6">
        <v>6072</v>
      </c>
      <c r="C7" s="7"/>
      <c r="D7" s="2">
        <v>3</v>
      </c>
    </row>
    <row r="8" spans="2:4" ht="20.100000000000001" customHeight="1" x14ac:dyDescent="0.25">
      <c r="B8" s="6">
        <v>7303</v>
      </c>
      <c r="C8" s="7"/>
      <c r="D8" s="2">
        <v>4</v>
      </c>
    </row>
    <row r="9" spans="2:4" ht="20.100000000000001" customHeight="1" x14ac:dyDescent="0.25">
      <c r="B9" s="6">
        <v>5715</v>
      </c>
      <c r="C9" s="7"/>
      <c r="D9" s="2">
        <v>5</v>
      </c>
    </row>
    <row r="10" spans="2:4" ht="20.100000000000001" customHeight="1" x14ac:dyDescent="0.25">
      <c r="B10" s="6">
        <v>3628</v>
      </c>
      <c r="C10" s="7"/>
      <c r="D10" s="2">
        <v>6</v>
      </c>
    </row>
    <row r="11" spans="2:4" ht="20.100000000000001" customHeight="1" x14ac:dyDescent="0.25">
      <c r="B11" s="6">
        <v>2994</v>
      </c>
      <c r="C11" s="7"/>
      <c r="D11" s="2">
        <v>7</v>
      </c>
    </row>
    <row r="12" spans="2:4" ht="20.100000000000001" customHeight="1" x14ac:dyDescent="0.25">
      <c r="B12" s="6">
        <v>2579</v>
      </c>
      <c r="C12" s="7"/>
      <c r="D12" s="2">
        <v>8</v>
      </c>
    </row>
    <row r="13" spans="2:4" ht="20.100000000000001" customHeight="1" x14ac:dyDescent="0.25">
      <c r="B13" s="6">
        <v>2483</v>
      </c>
      <c r="C13" s="7"/>
      <c r="D13" s="2">
        <v>9</v>
      </c>
    </row>
    <row r="14" spans="2:4" ht="20.100000000000001" customHeight="1" x14ac:dyDescent="0.25">
      <c r="B14" s="6">
        <v>2344</v>
      </c>
      <c r="C14" s="7"/>
      <c r="D14" s="2">
        <v>10</v>
      </c>
    </row>
    <row r="15" spans="2:4" ht="20.100000000000001" customHeight="1" x14ac:dyDescent="0.25">
      <c r="B15" s="6">
        <v>2483</v>
      </c>
      <c r="C15" s="7"/>
      <c r="D15" s="2">
        <v>11</v>
      </c>
    </row>
    <row r="16" spans="2:4" ht="20.100000000000001" customHeight="1" x14ac:dyDescent="0.25">
      <c r="B16" s="6">
        <v>2565</v>
      </c>
      <c r="C16" s="7"/>
      <c r="D16" s="2">
        <v>12</v>
      </c>
    </row>
    <row r="17" spans="2:4" ht="20.100000000000001" customHeight="1" x14ac:dyDescent="0.25">
      <c r="B17" s="6">
        <v>2250</v>
      </c>
      <c r="C17" s="7"/>
      <c r="D17" s="2">
        <v>13</v>
      </c>
    </row>
    <row r="18" spans="2:4" ht="20.100000000000001" customHeight="1" x14ac:dyDescent="0.25">
      <c r="B18" s="6">
        <v>2483</v>
      </c>
      <c r="C18" s="7"/>
      <c r="D18" s="2">
        <v>14</v>
      </c>
    </row>
    <row r="19" spans="2:4" ht="20.100000000000001" customHeight="1" x14ac:dyDescent="0.25">
      <c r="B19" s="6">
        <v>2798</v>
      </c>
      <c r="C19" s="7"/>
      <c r="D19" s="2">
        <v>15</v>
      </c>
    </row>
    <row r="20" spans="2:4" ht="20.100000000000001" customHeight="1" x14ac:dyDescent="0.25">
      <c r="B20" s="6">
        <v>2994</v>
      </c>
      <c r="C20" s="7"/>
      <c r="D20" s="2">
        <v>16</v>
      </c>
    </row>
    <row r="21" spans="2:4" ht="20.100000000000001" customHeight="1" x14ac:dyDescent="0.25">
      <c r="B21" s="6">
        <v>2980</v>
      </c>
      <c r="C21" s="7"/>
      <c r="D21" s="2">
        <v>17</v>
      </c>
    </row>
    <row r="22" spans="2:4" ht="20.100000000000001" customHeight="1" x14ac:dyDescent="0.25">
      <c r="B22" s="6">
        <v>4814</v>
      </c>
      <c r="C22" s="7"/>
      <c r="D22" s="2">
        <v>18</v>
      </c>
    </row>
    <row r="23" spans="2:4" ht="20.100000000000001" customHeight="1" x14ac:dyDescent="0.25">
      <c r="B23" s="6">
        <v>8425</v>
      </c>
      <c r="C23" s="7"/>
      <c r="D23" s="2">
        <v>19</v>
      </c>
    </row>
    <row r="24" spans="2:4" ht="20.100000000000001" customHeight="1" x14ac:dyDescent="0.25">
      <c r="B24" s="6">
        <v>12141</v>
      </c>
      <c r="C24" s="7"/>
      <c r="D24" s="2">
        <v>20</v>
      </c>
    </row>
  </sheetData>
  <mergeCells count="22">
    <mergeCell ref="B22:C22"/>
    <mergeCell ref="B23:C23"/>
    <mergeCell ref="B24:C24"/>
    <mergeCell ref="B4:C4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:D2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9157-EDC5-4125-A706-6FD36B003D03}">
  <dimension ref="B2:D44"/>
  <sheetViews>
    <sheetView showGridLines="0" zoomScaleNormal="100" workbookViewId="0">
      <selection sqref="A1:XFD1048576"/>
    </sheetView>
  </sheetViews>
  <sheetFormatPr defaultRowHeight="20.100000000000001" customHeight="1" x14ac:dyDescent="0.25"/>
  <cols>
    <col min="1" max="1" width="4.28515625" customWidth="1"/>
    <col min="2" max="2" width="14.28515625" customWidth="1"/>
    <col min="3" max="3" width="13" customWidth="1"/>
    <col min="4" max="4" width="15" customWidth="1"/>
  </cols>
  <sheetData>
    <row r="2" spans="2:4" ht="20.100000000000001" customHeight="1" thickBot="1" x14ac:dyDescent="0.3">
      <c r="B2" s="4" t="s">
        <v>2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10" t="s">
        <v>3</v>
      </c>
      <c r="C4" s="10" t="s">
        <v>4</v>
      </c>
      <c r="D4" s="10" t="s">
        <v>5</v>
      </c>
    </row>
    <row r="5" spans="2:4" ht="20.100000000000001" customHeight="1" x14ac:dyDescent="0.25">
      <c r="B5" s="2">
        <f ca="1">SUMIFS($F:$F,$B:$B,1,$E:$E,"FEMALE")</f>
        <v>0</v>
      </c>
      <c r="C5" s="2">
        <f ca="1">SUMIFS($F:$F,$B:$B,1,$E:$E,"MALE")</f>
        <v>0</v>
      </c>
      <c r="D5" s="2">
        <v>1</v>
      </c>
    </row>
    <row r="6" spans="2:4" ht="20.100000000000001" customHeight="1" x14ac:dyDescent="0.25">
      <c r="B6" s="2">
        <f ca="1">SUMIFS($F:$F,$B:$B,2,$E:$E,"FEMALE")</f>
        <v>24</v>
      </c>
      <c r="C6" s="2">
        <f ca="1">SUMIFS($F:$F,$B:$B,2,$E:$E,"MALE")</f>
        <v>20</v>
      </c>
      <c r="D6" s="2">
        <v>2</v>
      </c>
    </row>
    <row r="7" spans="2:4" ht="20.100000000000001" customHeight="1" x14ac:dyDescent="0.25">
      <c r="B7" s="2">
        <f ca="1">SUMIFS($F:$F,$B:$B,3,$E:$E,"FEMALE")</f>
        <v>975</v>
      </c>
      <c r="C7" s="2">
        <f ca="1">SUMIFS($F:$F,$B:$B,3,$E:$E,"MALE")</f>
        <v>687</v>
      </c>
      <c r="D7" s="2">
        <v>3</v>
      </c>
    </row>
    <row r="8" spans="2:4" ht="20.100000000000001" customHeight="1" x14ac:dyDescent="0.25">
      <c r="B8" s="2">
        <f ca="1">SUMIFS($F:$F,$B:$B,3,$E:$E,"FEMALE")</f>
        <v>975</v>
      </c>
      <c r="C8" s="2">
        <f ca="1">SUMIFS($F:$F,$B:$B,3,$E:$E,"MALE")</f>
        <v>687</v>
      </c>
      <c r="D8" s="2">
        <v>4</v>
      </c>
    </row>
    <row r="9" spans="2:4" ht="20.100000000000001" customHeight="1" x14ac:dyDescent="0.25">
      <c r="B9" s="2">
        <f ca="1">SUMIFS($F:$F,$B:$B,4,$E:$E,"FEMALE")</f>
        <v>3472</v>
      </c>
      <c r="C9" s="2">
        <f ca="1">SUMIFS($F:$F,$B:$B,4,$E:$E,"MALE")</f>
        <v>2377</v>
      </c>
      <c r="D9" s="2">
        <v>5</v>
      </c>
    </row>
    <row r="10" spans="2:4" ht="20.100000000000001" customHeight="1" x14ac:dyDescent="0.25">
      <c r="B10" s="2">
        <f ca="1">SUMIFS($F:$F,$B:$B,5,$E:$E,"FEMALE")</f>
        <v>4155</v>
      </c>
      <c r="C10" s="2">
        <f ca="1">SUMIFS($F:$F,$B:$B,5,$E:$E,"MALE")</f>
        <v>3007</v>
      </c>
      <c r="D10" s="2">
        <v>6</v>
      </c>
    </row>
    <row r="11" spans="2:4" ht="20.100000000000001" customHeight="1" x14ac:dyDescent="0.25">
      <c r="B11" s="2">
        <f ca="1">SUMIFS($F:$F,$B:$B,6,$E:$E,"FEMALE")</f>
        <v>3322</v>
      </c>
      <c r="C11" s="2">
        <f ca="1">SUMIFS($F:$F,$B:$B,6,$E:$E,"MALE")</f>
        <v>2282</v>
      </c>
      <c r="D11" s="2">
        <v>7</v>
      </c>
    </row>
    <row r="12" spans="2:4" ht="20.100000000000001" customHeight="1" x14ac:dyDescent="0.25">
      <c r="B12" s="2">
        <f ca="1">SUMIFS($F:$F,$B:$B,7,$E:$E,"FEMALE")</f>
        <v>2132</v>
      </c>
      <c r="C12" s="2">
        <f ca="1">SUMIFS($F:$F,$B:$B,7,$E:$E,"MALE")</f>
        <v>1433</v>
      </c>
      <c r="D12" s="2">
        <v>8</v>
      </c>
    </row>
    <row r="13" spans="2:4" ht="20.100000000000001" customHeight="1" x14ac:dyDescent="0.25">
      <c r="B13" s="2">
        <f ca="1">SUMIFS($F:$F,$B:$B,8,$E:$E,"FEMALE")</f>
        <v>1782</v>
      </c>
      <c r="C13" s="2">
        <f ca="1">SUMIFS($F:$F,$B:$B,8,$E:$E,"MALE")</f>
        <v>1169</v>
      </c>
      <c r="D13" s="2">
        <v>9</v>
      </c>
    </row>
    <row r="14" spans="2:4" ht="20.100000000000001" customHeight="1" x14ac:dyDescent="0.25">
      <c r="B14" s="2">
        <f ca="1">SUMIFS($F:$F,$B:$B,9,$E:$E,"FEMALE")</f>
        <v>1503</v>
      </c>
      <c r="C14" s="2">
        <f ca="1">SUMIFS($F:$F,$B:$B,9,$E:$E,"MALE")</f>
        <v>1046</v>
      </c>
      <c r="D14" s="2">
        <v>10</v>
      </c>
    </row>
    <row r="15" spans="2:4" ht="20.100000000000001" customHeight="1" x14ac:dyDescent="0.25">
      <c r="B15" s="2">
        <f ca="1">SUMIFS($F:$F,$B:$B,10,$E:$E,"FEMALE")</f>
        <v>1360</v>
      </c>
      <c r="C15" s="2">
        <f ca="1">SUMIFS($F:$F,$B:$B,10,$E:$E,"MALE")</f>
        <v>1065</v>
      </c>
      <c r="D15" s="2">
        <v>11</v>
      </c>
    </row>
    <row r="16" spans="2:4" ht="20.100000000000001" customHeight="1" x14ac:dyDescent="0.25">
      <c r="B16" s="2">
        <f ca="1">SUMIFS($F:$F,$B:$B,11,$E:$E,"FEMALE")</f>
        <v>1319</v>
      </c>
      <c r="C16" s="2">
        <f ca="1">SUMIFS($F:$F,$B:$B,11,$E:$E,"MALE")</f>
        <v>994</v>
      </c>
      <c r="D16" s="2">
        <v>12</v>
      </c>
    </row>
    <row r="17" spans="2:4" ht="20.100000000000001" customHeight="1" x14ac:dyDescent="0.25">
      <c r="B17" s="2">
        <f ca="1">SUMIFS($F:$F,$B:$B,12,$E:$E,"FEMALE")</f>
        <v>1460</v>
      </c>
      <c r="C17" s="2">
        <f ca="1">SUMIFS($F:$F,$B:$B,12,$E:$E,"MALE")</f>
        <v>1088</v>
      </c>
      <c r="D17" s="2">
        <v>13</v>
      </c>
    </row>
    <row r="18" spans="2:4" ht="20.100000000000001" customHeight="1" x14ac:dyDescent="0.25">
      <c r="B18" s="2">
        <f ca="1">SUMIFS($F:$F,$B:$B,13,$E:$E,"FEMALE")</f>
        <v>1245</v>
      </c>
      <c r="C18" s="2">
        <f ca="1">SUMIFS($F:$F,$B:$B,13,$E:$E,"MALE")</f>
        <v>996</v>
      </c>
      <c r="D18" s="2">
        <v>14</v>
      </c>
    </row>
    <row r="19" spans="2:4" ht="20.100000000000001" customHeight="1" x14ac:dyDescent="0.25">
      <c r="B19" s="2">
        <f ca="1">SUMIFS($F:$F,$B:$B,14,$E:$E,"FEMALE")</f>
        <v>1498</v>
      </c>
      <c r="C19" s="2">
        <f ca="1">SUMIFS($F:$F,$B:$B,14,$E:$E,"MALE")</f>
        <v>1283</v>
      </c>
      <c r="D19" s="2">
        <v>15</v>
      </c>
    </row>
    <row r="20" spans="2:4" ht="20.100000000000001" customHeight="1" x14ac:dyDescent="0.25">
      <c r="B20" s="2">
        <f ca="1">SUMIFS($F:$F,$B:$B,15,$E:$E,"FEMALE")</f>
        <v>1661</v>
      </c>
      <c r="C20" s="2">
        <f ca="1">SUMIFS($F:$F,$B:$B,15,$E:$E,"MALE")</f>
        <v>1313</v>
      </c>
      <c r="D20" s="2">
        <v>16</v>
      </c>
    </row>
    <row r="21" spans="2:4" ht="20.100000000000001" customHeight="1" x14ac:dyDescent="0.25">
      <c r="B21" s="2">
        <f ca="1">SUMIFS($F:$F,$B:$B,16,$E:$E,"FEMALE")</f>
        <v>2641</v>
      </c>
      <c r="C21" s="2">
        <f ca="1">SUMIFS($F:$F,$B:$B,16,$E:$E,"MALE")</f>
        <v>2162</v>
      </c>
      <c r="D21" s="2">
        <v>17</v>
      </c>
    </row>
    <row r="22" spans="2:4" ht="20.100000000000001" customHeight="1" x14ac:dyDescent="0.25">
      <c r="B22" s="2">
        <f ca="1">SUMIFS($F:$F,$B:$B,17,$E:$E,"FEMALE")</f>
        <v>4760</v>
      </c>
      <c r="C22" s="2">
        <f ca="1">SUMIFS($F:$F,$B:$B,17,$E:$E,"MALE")</f>
        <v>3632</v>
      </c>
      <c r="D22" s="2">
        <v>18</v>
      </c>
    </row>
    <row r="23" spans="2:4" ht="20.100000000000001" customHeight="1" x14ac:dyDescent="0.25">
      <c r="B23" s="2">
        <f ca="1">SUMIFS($F:$F,$B:$B,18,$E:$E,"FEMALE")</f>
        <v>6799</v>
      </c>
      <c r="C23" s="2">
        <f ca="1">SUMIFS($F:$F,$B:$B,18,$E:$E,"MALE")</f>
        <v>5319</v>
      </c>
      <c r="D23" s="2">
        <v>19</v>
      </c>
    </row>
    <row r="24" spans="2:4" ht="20.100000000000001" customHeight="1" x14ac:dyDescent="0.25">
      <c r="B24" s="2">
        <f ca="1">SUMIFS($F:$F,$B:$B,19,$E:$E,"FEMALE")</f>
        <v>7495</v>
      </c>
      <c r="C24" s="2">
        <f ca="1">SUMIFS($F:$F,$B:$B,19,$E:$E,"MALE")</f>
        <v>6081</v>
      </c>
      <c r="D24" s="2">
        <v>20</v>
      </c>
    </row>
    <row r="25" spans="2:4" ht="20.100000000000001" customHeight="1" x14ac:dyDescent="0.25">
      <c r="B25" s="2">
        <f ca="1">SUMIFS($F:$F,$B:$B,20,$E:$E,"FEMALE")</f>
        <v>8571</v>
      </c>
      <c r="C25" s="2">
        <f ca="1">SUMIFS($F:$F,$B:$B,20,$E:$E,"MALE")</f>
        <v>6466</v>
      </c>
      <c r="D25" s="2">
        <v>21</v>
      </c>
    </row>
    <row r="26" spans="2:4" ht="20.100000000000001" customHeight="1" x14ac:dyDescent="0.25">
      <c r="B26" s="2">
        <f ca="1">SUMIFS($F:$F,$B:$B,22,$E:$E,"FEMALE")</f>
        <v>6085</v>
      </c>
      <c r="C26" s="2">
        <f ca="1">SUMIFS($F:$F,$B:$B,22,$E:$E,"MALE")</f>
        <v>4747</v>
      </c>
      <c r="D26" s="2">
        <v>22</v>
      </c>
    </row>
    <row r="27" spans="2:4" ht="20.100000000000001" customHeight="1" x14ac:dyDescent="0.25">
      <c r="B27" s="2">
        <f ca="1">SUMIFS($F:$F,$B:$B,23,$E:$E,"FEMALE")</f>
        <v>5299</v>
      </c>
      <c r="C27" s="2">
        <f ca="1">SUMIFS($F:$F,$B:$B,23,$E:$E,"MALE")</f>
        <v>4236</v>
      </c>
      <c r="D27" s="2">
        <v>23</v>
      </c>
    </row>
    <row r="28" spans="2:4" ht="20.100000000000001" customHeight="1" x14ac:dyDescent="0.25">
      <c r="B28" s="2">
        <f ca="1">SUMIFS($F:$F,$B:$B,24,$E:$E,"FEMALE")</f>
        <v>4364</v>
      </c>
      <c r="C28" s="2">
        <f ca="1">SUMIFS($F:$F,$B:$B,24,$E:$E,"MALE")</f>
        <v>3328</v>
      </c>
      <c r="D28" s="2">
        <v>24</v>
      </c>
    </row>
    <row r="29" spans="2:4" ht="20.100000000000001" customHeight="1" x14ac:dyDescent="0.25">
      <c r="B29" s="2">
        <f ca="1">SUMIFS($F:$F,$B:$B,25,$E:$E,"FEMALE")</f>
        <v>3519</v>
      </c>
      <c r="C29" s="2">
        <f ca="1">SUMIFS($F:$F,$B:$B,25,$E:$E,"MALE")</f>
        <v>2737</v>
      </c>
      <c r="D29" s="2">
        <v>25</v>
      </c>
    </row>
    <row r="30" spans="2:4" ht="20.100000000000001" customHeight="1" x14ac:dyDescent="0.25">
      <c r="B30" s="2">
        <f ca="1">SUMIFS($F:$F,$B:$B,26,$E:$E,"FEMALE")</f>
        <v>2501</v>
      </c>
      <c r="C30" s="2">
        <f ca="1">SUMIFS($F:$F,$B:$B,26,$E:$E,"MALE")</f>
        <v>2530</v>
      </c>
      <c r="D30" s="2">
        <v>26</v>
      </c>
    </row>
    <row r="31" spans="2:4" ht="20.100000000000001" customHeight="1" x14ac:dyDescent="0.25">
      <c r="B31" s="2">
        <f ca="1">SUMIFS($F:$F,$B:$B,27,$E:$E,"FEMALE")</f>
        <v>2324</v>
      </c>
      <c r="C31" s="2">
        <f ca="1">SUMIFS($F:$F,$B:$B,27,$E:$E,"MALE")</f>
        <v>2361</v>
      </c>
      <c r="D31" s="2">
        <v>27</v>
      </c>
    </row>
    <row r="32" spans="2:4" ht="20.100000000000001" customHeight="1" x14ac:dyDescent="0.25">
      <c r="B32" s="2">
        <f ca="1">SUMIFS($F:$F,$B:$B,28,$E:$E,"FEMALE")</f>
        <v>2334</v>
      </c>
      <c r="C32" s="2">
        <f ca="1">SUMIFS($F:$F,$B:$B,28,$E:$E,"MALE")</f>
        <v>2196</v>
      </c>
      <c r="D32" s="2">
        <v>28</v>
      </c>
    </row>
    <row r="33" spans="2:4" ht="20.100000000000001" customHeight="1" x14ac:dyDescent="0.25">
      <c r="B33" s="2">
        <f ca="1">SUMIFS($F:$F,$B:$B,29,$E:$E,"FEMALE")</f>
        <v>2168</v>
      </c>
      <c r="C33" s="2">
        <f ca="1">SUMIFS($F:$F,$B:$B,29,$E:$E,"MALE")</f>
        <v>2099</v>
      </c>
      <c r="D33" s="2">
        <v>29</v>
      </c>
    </row>
    <row r="34" spans="2:4" ht="20.100000000000001" customHeight="1" x14ac:dyDescent="0.25">
      <c r="B34" s="2">
        <f ca="1">SUMIFS($F:$F,$B:$B,30,$E:$E,"FEMALE")</f>
        <v>2192</v>
      </c>
      <c r="C34" s="2">
        <f ca="1">SUMIFS($F:$F,$B:$B,30,$E:$E,"MALE")</f>
        <v>1999</v>
      </c>
      <c r="D34" s="2">
        <v>30</v>
      </c>
    </row>
    <row r="35" spans="2:4" ht="20.100000000000001" customHeight="1" x14ac:dyDescent="0.25">
      <c r="B35" s="2">
        <f ca="1">SUMIFS($F:$F,$B:$B,31,$E:$E,"FEMALE")</f>
        <v>2275</v>
      </c>
      <c r="C35" s="2">
        <f ca="1">SUMIFS($F:$F,$B:$B,31,$E:$E,"MALE")</f>
        <v>1958</v>
      </c>
      <c r="D35" s="2">
        <v>31</v>
      </c>
    </row>
    <row r="36" spans="2:4" ht="20.100000000000001" customHeight="1" x14ac:dyDescent="0.25">
      <c r="B36" s="2">
        <f ca="1">SUMIFS($F:$F,$B:$B,32,$E:$E,"FEMALE")</f>
        <v>2412</v>
      </c>
      <c r="C36" s="2">
        <f ca="1">SUMIFS($F:$F,$B:$B,32,$E:$E,"MALE")</f>
        <v>1918</v>
      </c>
      <c r="D36" s="2">
        <v>32</v>
      </c>
    </row>
    <row r="37" spans="2:4" ht="20.100000000000001" customHeight="1" x14ac:dyDescent="0.25">
      <c r="B37" s="2">
        <f ca="1">SUMIFS($F:$F,$B:$B,33,$E:$E,"FEMALE")</f>
        <v>2436</v>
      </c>
      <c r="C37" s="2">
        <f ca="1">SUMIFS($F:$F,$B:$B,33,$E:$E,"MALE")</f>
        <v>2037</v>
      </c>
      <c r="D37" s="2">
        <v>33</v>
      </c>
    </row>
    <row r="38" spans="2:4" ht="20.100000000000001" customHeight="1" x14ac:dyDescent="0.25">
      <c r="B38" s="2">
        <f ca="1">SUMIFS($F:$F,$B:$B,34,$E:$E,"FEMALE")</f>
        <v>2857</v>
      </c>
      <c r="C38" s="2">
        <f ca="1">SUMIFS($F:$F,$B:$B,34,$E:$E,"MALE")</f>
        <v>2212</v>
      </c>
      <c r="D38" s="2">
        <v>34</v>
      </c>
    </row>
    <row r="39" spans="2:4" ht="20.100000000000001" customHeight="1" x14ac:dyDescent="0.25">
      <c r="B39" s="2">
        <f ca="1">SUMIFS($F:$F,$B:$B,35,$E:$E,"FEMALE")</f>
        <v>2753</v>
      </c>
      <c r="C39" s="2">
        <f ca="1">SUMIFS($F:$F,$B:$B,35,$E:$E,"MALE")</f>
        <v>2290</v>
      </c>
      <c r="D39" s="2">
        <v>35</v>
      </c>
    </row>
    <row r="40" spans="2:4" ht="20.100000000000001" customHeight="1" x14ac:dyDescent="0.25">
      <c r="B40" s="2">
        <f ca="1">SUMIFS($F:$F,$B:$B,36,$E:$E,"FEMALE")</f>
        <v>3405</v>
      </c>
      <c r="C40" s="2">
        <f ca="1">SUMIFS($F:$F,$B:$B,36,$E:$E,"MALE")</f>
        <v>2751</v>
      </c>
      <c r="D40" s="2">
        <v>36</v>
      </c>
    </row>
    <row r="41" spans="2:4" ht="20.100000000000001" customHeight="1" x14ac:dyDescent="0.25">
      <c r="B41" s="2">
        <f ca="1">SUMIFS($F:$F,$B:$B,37,$E:$E,"FEMALE")</f>
        <v>6138</v>
      </c>
      <c r="C41" s="2">
        <f ca="1">SUMIFS($F:$F,$B:$B,37,$E:$E,"MALE")</f>
        <v>4769</v>
      </c>
      <c r="D41" s="2">
        <v>37</v>
      </c>
    </row>
    <row r="42" spans="2:4" ht="20.100000000000001" customHeight="1" x14ac:dyDescent="0.25">
      <c r="B42" s="2">
        <f ca="1">SUMIFS($F:$F,$B:$B,38,$E:$E,"FEMALE")</f>
        <v>7638</v>
      </c>
      <c r="C42" s="2">
        <f ca="1">SUMIFS($F:$F,$B:$B,38,$E:$E,"MALE")</f>
        <v>6168</v>
      </c>
      <c r="D42" s="2">
        <v>38</v>
      </c>
    </row>
    <row r="43" spans="2:4" ht="20.100000000000001" customHeight="1" x14ac:dyDescent="0.25">
      <c r="B43" s="2">
        <f ca="1">SUMIFS($F:$F,$B:$B,39,$E:$E,"FEMALE")</f>
        <v>8476</v>
      </c>
      <c r="C43" s="2">
        <f ca="1">SUMIFS($F:$F,$B:$B,39,$E:$E,"MALE")</f>
        <v>6520</v>
      </c>
      <c r="D43" s="2">
        <v>39</v>
      </c>
    </row>
    <row r="44" spans="2:4" ht="20.100000000000001" customHeight="1" x14ac:dyDescent="0.25">
      <c r="B44" s="2">
        <f ca="1">SUMIFS($F:$F,$B:$B,40,$E:$E,"FEMALE")</f>
        <v>8703</v>
      </c>
      <c r="C44" s="2">
        <f ca="1">SUMIFS($F:$F,$B:$B,40,$E:$E,"MALE")</f>
        <v>6312</v>
      </c>
      <c r="D44" s="2">
        <v>40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DC7A-39DD-4107-B80F-BA1F3A79F1E6}">
  <dimension ref="B2:C18"/>
  <sheetViews>
    <sheetView showGridLines="0" workbookViewId="0">
      <selection activeCell="W13" sqref="W13"/>
    </sheetView>
  </sheetViews>
  <sheetFormatPr defaultRowHeight="20.100000000000001" customHeight="1" x14ac:dyDescent="0.25"/>
  <cols>
    <col min="1" max="1" width="3.140625" style="1" customWidth="1"/>
    <col min="2" max="2" width="10.140625" style="1" bestFit="1" customWidth="1"/>
    <col min="3" max="3" width="22.28515625" style="1" bestFit="1" customWidth="1"/>
    <col min="4" max="16384" width="9.140625" style="1"/>
  </cols>
  <sheetData>
    <row r="2" spans="2:3" ht="20.100000000000001" customHeight="1" thickBot="1" x14ac:dyDescent="0.3">
      <c r="B2" s="4" t="s">
        <v>8</v>
      </c>
      <c r="C2" s="4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>
        <v>700</v>
      </c>
      <c r="C5" s="2">
        <v>226</v>
      </c>
    </row>
    <row r="6" spans="2:3" ht="20.100000000000001" customHeight="1" x14ac:dyDescent="0.25">
      <c r="B6" s="2">
        <v>800</v>
      </c>
      <c r="C6" s="2">
        <v>224</v>
      </c>
    </row>
    <row r="7" spans="2:3" ht="20.100000000000001" customHeight="1" x14ac:dyDescent="0.25">
      <c r="B7" s="2">
        <v>900</v>
      </c>
      <c r="C7" s="2">
        <v>226</v>
      </c>
    </row>
    <row r="8" spans="2:3" ht="20.100000000000001" customHeight="1" x14ac:dyDescent="0.25">
      <c r="B8" s="2">
        <v>1000</v>
      </c>
      <c r="C8" s="2">
        <v>390</v>
      </c>
    </row>
    <row r="9" spans="2:3" ht="20.100000000000001" customHeight="1" x14ac:dyDescent="0.25">
      <c r="B9" s="2">
        <v>1100</v>
      </c>
      <c r="C9" s="2">
        <v>353</v>
      </c>
    </row>
    <row r="10" spans="2:3" ht="20.100000000000001" customHeight="1" x14ac:dyDescent="0.25">
      <c r="B10" s="2">
        <v>1200</v>
      </c>
      <c r="C10" s="2">
        <v>393</v>
      </c>
    </row>
    <row r="11" spans="2:3" ht="20.100000000000001" customHeight="1" x14ac:dyDescent="0.25">
      <c r="B11" s="2">
        <v>1300</v>
      </c>
      <c r="C11" s="2">
        <v>392</v>
      </c>
    </row>
    <row r="12" spans="2:3" ht="20.100000000000001" customHeight="1" x14ac:dyDescent="0.25">
      <c r="B12" s="2">
        <v>1400</v>
      </c>
      <c r="C12" s="2">
        <v>390</v>
      </c>
    </row>
    <row r="13" spans="2:3" ht="20.100000000000001" customHeight="1" x14ac:dyDescent="0.25">
      <c r="B13" s="2">
        <v>1500</v>
      </c>
      <c r="C13" s="2">
        <v>461</v>
      </c>
    </row>
    <row r="14" spans="2:3" ht="20.100000000000001" customHeight="1" x14ac:dyDescent="0.25">
      <c r="B14" s="2">
        <v>1600</v>
      </c>
      <c r="C14" s="2">
        <v>554</v>
      </c>
    </row>
    <row r="15" spans="2:3" ht="20.100000000000001" customHeight="1" x14ac:dyDescent="0.25">
      <c r="B15" s="2">
        <v>1700</v>
      </c>
      <c r="C15" s="2">
        <v>603</v>
      </c>
    </row>
    <row r="16" spans="2:3" ht="20.100000000000001" customHeight="1" x14ac:dyDescent="0.25">
      <c r="B16" s="2">
        <v>1800</v>
      </c>
      <c r="C16" s="2">
        <v>989</v>
      </c>
    </row>
    <row r="17" spans="2:3" ht="20.100000000000001" customHeight="1" x14ac:dyDescent="0.25">
      <c r="B17" s="2">
        <v>1900</v>
      </c>
      <c r="C17" s="2">
        <v>2000</v>
      </c>
    </row>
    <row r="18" spans="2:3" ht="20.100000000000001" customHeight="1" x14ac:dyDescent="0.25">
      <c r="B18" s="2">
        <v>2000</v>
      </c>
      <c r="C18" s="2">
        <v>6127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Log-Log_1</vt:lpstr>
      <vt:lpstr>Log-Log_2</vt:lpstr>
      <vt:lpstr>Semi Log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2022-06-05T08:58:17Z</dcterms:created>
  <dcterms:modified xsi:type="dcterms:W3CDTF">2022-06-05T15:39:17Z</dcterms:modified>
</cp:coreProperties>
</file>